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7" activeTab="0"/>
  </bookViews>
  <sheets>
    <sheet name="01.01.2020" sheetId="1" r:id="rId1"/>
  </sheets>
  <definedNames/>
  <calcPr fullCalcOnLoad="1"/>
</workbook>
</file>

<file path=xl/sharedStrings.xml><?xml version="1.0" encoding="utf-8"?>
<sst xmlns="http://schemas.openxmlformats.org/spreadsheetml/2006/main" count="2291" uniqueCount="1235">
  <si>
    <t>3.3.6.1.</t>
  </si>
  <si>
    <t>3.3.6.2.</t>
  </si>
  <si>
    <t>3.3.6.3.</t>
  </si>
  <si>
    <t>Осмотр врачом-психиатром-наркологом (психиатрических профиля)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</si>
  <si>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артерий нижних конечностей</t>
  </si>
  <si>
    <t>Функциональня диагностика</t>
  </si>
  <si>
    <t>Ультразвуковая диагностика</t>
  </si>
  <si>
    <t>5.1.</t>
  </si>
  <si>
    <t>Электрокардиограмма в 12-ти отведениях</t>
  </si>
  <si>
    <t xml:space="preserve">Электрокардиографические исследования </t>
  </si>
  <si>
    <t>5.1.1.</t>
  </si>
  <si>
    <t>5.1.1.1.</t>
  </si>
  <si>
    <t>Электрокардиограмма в 12-ти отведениях без функциональных проб</t>
  </si>
  <si>
    <t>5.1.1.2.</t>
  </si>
  <si>
    <t>Электрокардиограмма в 12-ти отведениях с функциональными пробами (за одну пробу)</t>
  </si>
  <si>
    <t>5.1.1.3.</t>
  </si>
  <si>
    <t>Электрокардиограмма в дополнительных отведениях</t>
  </si>
  <si>
    <t>5.1.2.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</si>
  <si>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(холтеровскте мониторирование)</t>
  </si>
  <si>
    <t>Рентгеновская компьютерная томография грудной полости без контрастного усиления</t>
  </si>
  <si>
    <t>Рентгеновская компьютерная томография грудной полости с контрастным усилением</t>
  </si>
  <si>
    <t>Рентгеновская компьютерная томография брюшной полости без контрастного усиления</t>
  </si>
  <si>
    <t>Рентгеновская компьютерная томография брюшной полости с контрастным усилением</t>
  </si>
  <si>
    <t>Рентгеновская компьютерная томография таза без контрастного усиления</t>
  </si>
  <si>
    <t>Рентгеновская компьютерная томография таза с контрастным усилением</t>
  </si>
  <si>
    <t>Рентгеновская компьютерная томография отдела позвоночника без контрастного усиления</t>
  </si>
  <si>
    <t>Рентгеновская компьютерная томография отдела позвоночника с контрастным усилением</t>
  </si>
  <si>
    <t>Рентгеновская компьютерная томография костей и суставов без контрастного усиления</t>
  </si>
  <si>
    <t>Рентгеновская компьютерная томография костей и суставов с контрастным усилением</t>
  </si>
  <si>
    <t>Специальные методы обработки изображений</t>
  </si>
  <si>
    <t>MPR, MIP, MinIP, SSD, криволинейная реконструкция</t>
  </si>
  <si>
    <t>Тариф, руб.</t>
  </si>
  <si>
    <t>ПРЕЙСКУРАНТ</t>
  </si>
  <si>
    <t>Определение чувствительности одного штамма микроорганизма к антибиотикам</t>
  </si>
  <si>
    <t>11.</t>
  </si>
  <si>
    <t>Определение антител к вирусным и бактериальным антигенам методом иммуноферментного анализа (ИФА) на хламидии с полуавтоматизированным расчетом</t>
  </si>
  <si>
    <t>12.</t>
  </si>
  <si>
    <t>13.</t>
  </si>
  <si>
    <t>14.</t>
  </si>
  <si>
    <t>15.</t>
  </si>
  <si>
    <t>Микрореакция (МР) преципитации - качественный метод</t>
  </si>
  <si>
    <t>16.</t>
  </si>
  <si>
    <t>Обнаружение чесоточного клеща в исследуемом материале</t>
  </si>
  <si>
    <t>17.</t>
  </si>
  <si>
    <t>Обнаружение Demodex foliorum hominis в исследуемом материале</t>
  </si>
  <si>
    <t>18.</t>
  </si>
  <si>
    <t>Определение вирусного гепатита В</t>
  </si>
  <si>
    <t>19.</t>
  </si>
  <si>
    <t>Пребывание в палатах повышенной комфортности</t>
  </si>
  <si>
    <t>Аппликационная анестезия (спрей)</t>
  </si>
  <si>
    <t>Криодеструкция 1 элемента доброкачественного новообразования кожи вирусной этиологии (бородавка, папиллома, контагиозный моллюск, кондилома)</t>
  </si>
  <si>
    <t>Криодеструкция доброкачественных новообразований кожи и красной каймы губ до 0,5 см</t>
  </si>
  <si>
    <t>Криодеструкция доброкачественных новообразований кожи и красной каймы губ от 0,5 см до 1 см</t>
  </si>
  <si>
    <t>Криодеструкция рубцов за 1 см</t>
  </si>
  <si>
    <t>Вакуум-мини-аборт с обезболиванием</t>
  </si>
  <si>
    <t>Удаление внутриматочного средства контрацепции</t>
  </si>
  <si>
    <t>Слюнные железы (или подчелюстные или околоушные)</t>
  </si>
  <si>
    <t>3.3.3.1.</t>
  </si>
  <si>
    <t>3.3.3.2.</t>
  </si>
  <si>
    <t>3.3.3.3.</t>
  </si>
  <si>
    <t>3.3.4.</t>
  </si>
  <si>
    <t>Мягкие ткани</t>
  </si>
  <si>
    <t>3.3.4.1.</t>
  </si>
  <si>
    <t>3.3.4.2.</t>
  </si>
  <si>
    <t>3.3.4.3.</t>
  </si>
  <si>
    <t>3.3.8.</t>
  </si>
  <si>
    <t>Головной мозг новорожденного</t>
  </si>
  <si>
    <t>3.3.8.1.</t>
  </si>
  <si>
    <t>3.3.8.2.</t>
  </si>
  <si>
    <t>3.3.8.3.</t>
  </si>
  <si>
    <t>3.3.9.</t>
  </si>
  <si>
    <t>Внутренние органы новорожденного</t>
  </si>
  <si>
    <t>3.3.9.1.</t>
  </si>
  <si>
    <t>3.3.9.2.</t>
  </si>
  <si>
    <t>3.3.9.3.</t>
  </si>
  <si>
    <t>3.3.10.</t>
  </si>
  <si>
    <t>Плевральная полость</t>
  </si>
  <si>
    <t>3.3.10.1.</t>
  </si>
  <si>
    <t>3.3.10.2.</t>
  </si>
  <si>
    <t>3.3.10.3.</t>
  </si>
  <si>
    <t>3.3.11.</t>
  </si>
  <si>
    <t>Лимфатические узлы (одна область с обеих сторон)</t>
  </si>
  <si>
    <t>3.3.11.1.</t>
  </si>
  <si>
    <t>3.3.11.2.</t>
  </si>
  <si>
    <t>3.3.11.3.</t>
  </si>
  <si>
    <t>3.3.12.</t>
  </si>
  <si>
    <t>Мышцы (одна группа с обеих сторон)</t>
  </si>
  <si>
    <t>3.3.12.1.</t>
  </si>
  <si>
    <t>3.3.12.2.</t>
  </si>
  <si>
    <t>3.3.12.3.</t>
  </si>
  <si>
    <t>Специальные ультразвуковые исследования:</t>
  </si>
  <si>
    <t>3.4.9.</t>
  </si>
  <si>
    <t xml:space="preserve">Эхокардиография (М+В режим) на черно-белых аппаратах </t>
  </si>
  <si>
    <t>3.4.10.</t>
  </si>
  <si>
    <t>Эхокардиография (М+В режим+допплер+цветное картиров)</t>
  </si>
  <si>
    <t>3.4.10.1.</t>
  </si>
  <si>
    <t>3.3.6.</t>
  </si>
  <si>
    <t>Суставы парные</t>
  </si>
  <si>
    <t>внутривенное капельное введение солевых растворов для больных наркологического профиля (анонимно)</t>
  </si>
  <si>
    <t>Лечение синдрома зависимости вследствие употребления летучих растворителей (анонимно):</t>
  </si>
  <si>
    <t>1.1.7.21.1.</t>
  </si>
  <si>
    <t>Начальник планово-экономического отдела</t>
  </si>
  <si>
    <t>Т.И. Темченко</t>
  </si>
  <si>
    <t>Примечание: стоимость лекарственных средств и других материалов может быть не учтена и может оплачиваться дополнительно</t>
  </si>
  <si>
    <t>*</t>
  </si>
  <si>
    <t>Медицинские манипуляции для больных наркологического профиля (анонимно):</t>
  </si>
  <si>
    <t>внутримышечная или подкожная инъекция для больных наркологического профиля (анонимно)</t>
  </si>
  <si>
    <t xml:space="preserve">Утверждаю </t>
  </si>
  <si>
    <t xml:space="preserve">Наименование </t>
  </si>
  <si>
    <t>Проведение процедуры вакцинации</t>
  </si>
  <si>
    <t>Проведение процедуры вакцинации против кори</t>
  </si>
  <si>
    <t>5.1.2.1.</t>
  </si>
  <si>
    <t>5.2.</t>
  </si>
  <si>
    <t>НА ПЛАТНЫЕ МЕДИЦИНСКИЕ УСЛУГИ</t>
  </si>
  <si>
    <t>Стоимость расходных материалов, руб.</t>
  </si>
  <si>
    <t>Стоимость платной медицинской услуги, руб.</t>
  </si>
  <si>
    <t>1.1.</t>
  </si>
  <si>
    <t>Консультация врачей-специалистов</t>
  </si>
  <si>
    <t>врача-специалиста второй квалификационной категории:</t>
  </si>
  <si>
    <t>терапевтического профиля</t>
  </si>
  <si>
    <t>хирургического профиля</t>
  </si>
  <si>
    <t>1.2.</t>
  </si>
  <si>
    <t>врача-специалиста первой квалификационной категории:</t>
  </si>
  <si>
    <t>1.3.</t>
  </si>
  <si>
    <t>врача-специалиста высшей квалификационной категории:</t>
  </si>
  <si>
    <t>Офтальмология</t>
  </si>
  <si>
    <t>Контактная коррекция зрения</t>
  </si>
  <si>
    <t>2.1.</t>
  </si>
  <si>
    <t>Подбор контактных линз (первичный)</t>
  </si>
  <si>
    <t>2.2.</t>
  </si>
  <si>
    <t>Подбор контактных линз (повторный)</t>
  </si>
  <si>
    <t>3.1.</t>
  </si>
  <si>
    <t>Исследование полей зрения (периметрия)</t>
  </si>
  <si>
    <t>3.3.</t>
  </si>
  <si>
    <t>Исследование переднего отрезка глаза с помощью щелевой лампы (биомикроскопия)</t>
  </si>
  <si>
    <t>3.4.</t>
  </si>
  <si>
    <t>Измерение внутриглазного давления (тонометрия)</t>
  </si>
  <si>
    <t>3.5.</t>
  </si>
  <si>
    <t>Суточная тонометрия</t>
  </si>
  <si>
    <t>3.6.</t>
  </si>
  <si>
    <t>Пневмотонометрия</t>
  </si>
  <si>
    <t>3.7.</t>
  </si>
  <si>
    <t>Тонография</t>
  </si>
  <si>
    <t>3.10.</t>
  </si>
  <si>
    <t>Рефрактометрия</t>
  </si>
  <si>
    <t>3.16.</t>
  </si>
  <si>
    <t>Офтальмоскопия (исследование глазного дна)</t>
  </si>
  <si>
    <t>Акушерство и гинекология</t>
  </si>
  <si>
    <t>3.8.</t>
  </si>
  <si>
    <t>3.19.</t>
  </si>
  <si>
    <t>Трахеобронхоскопия</t>
  </si>
  <si>
    <t>6.1.10.</t>
  </si>
  <si>
    <t>Ректоскопия</t>
  </si>
  <si>
    <t>6.1.11.</t>
  </si>
  <si>
    <t>Ректосигмоскопия</t>
  </si>
  <si>
    <t>6.1.12.</t>
  </si>
  <si>
    <t>Ректосигмоколоноскопия</t>
  </si>
  <si>
    <t>6.3.3.</t>
  </si>
  <si>
    <t>6.3.</t>
  </si>
  <si>
    <t>Пребывание в палате повышенной комфортности травматологического отделения (за 1 койко-день на 1 человека)</t>
  </si>
  <si>
    <t>Пребывание в палате повышенной комфортности оториноларингологического отделения (за 1 койко-день на 1 человека)</t>
  </si>
  <si>
    <t>Обнаружение трихомонад и гонококов</t>
  </si>
  <si>
    <t>Исследование мочи по определению порфобилиногена</t>
  </si>
  <si>
    <t>Подсчет ретикулоцитов</t>
  </si>
  <si>
    <t>Подсчет эритроцитов</t>
  </si>
  <si>
    <t>Подсчет LE-клеток</t>
  </si>
  <si>
    <t>6.3.1.</t>
  </si>
  <si>
    <t>6.3.2.</t>
  </si>
  <si>
    <t>Прочие анипуляции</t>
  </si>
  <si>
    <t>Взятие биопсийного материала на гистологическое исследование</t>
  </si>
  <si>
    <t>Взятие материала на цитологическое исследование</t>
  </si>
  <si>
    <t>Выполнение уреазного теста</t>
  </si>
  <si>
    <t>Исследование мочи общее</t>
  </si>
  <si>
    <t>Подсчет количества форменных элементов</t>
  </si>
  <si>
    <t>Обнаружение трихомонад и гонококов в окрашенных препаратах отделяемого мочеполовых органов для мужчин</t>
  </si>
  <si>
    <t>4.</t>
  </si>
  <si>
    <t>Обнаружение трихомонад и гонококов в окрашенных препаратах отделяемого мочеполовых органов для женщин</t>
  </si>
  <si>
    <t>5.</t>
  </si>
  <si>
    <t>Определение антител к вирусным и бактериальным антигенам методом иммуноферментного анализа (ИФА-треп) сиф с полуавтоматизированным расчетом</t>
  </si>
  <si>
    <t>6.</t>
  </si>
  <si>
    <t>Анализ крови общий</t>
  </si>
  <si>
    <t>7.</t>
  </si>
  <si>
    <t>Развернутый анализ крови</t>
  </si>
  <si>
    <t>8.</t>
  </si>
  <si>
    <t>Подсчет тромбоцитов</t>
  </si>
  <si>
    <t>9.</t>
  </si>
  <si>
    <t>Забор крови из вены</t>
  </si>
  <si>
    <t>10.</t>
  </si>
  <si>
    <t>Массаж предстательной железы, получение секрета</t>
  </si>
  <si>
    <t>ОКАЗЫВАЕМЫЕ В УЗ "СВЕТЛОГОРСКАЯ ЦРБ" ИНОСТРАННЫМ ГРАЖДАНАМ ИМЕЮЩИМ ВИД НА ЖИТЕЛЬСТВО В РЕСПУБЛИКЕ БЕЛАРУСЬ</t>
  </si>
  <si>
    <t>Медикаментозный аборт</t>
  </si>
  <si>
    <t>коленный сустав</t>
  </si>
  <si>
    <t>бедро</t>
  </si>
  <si>
    <t>тазобедренный сустав</t>
  </si>
  <si>
    <t>пояснично-крестцовый отдел</t>
  </si>
  <si>
    <t>пальцы кистей и стоп</t>
  </si>
  <si>
    <t>кисть</t>
  </si>
  <si>
    <t>лучезапястный сустав</t>
  </si>
  <si>
    <t>предплечье</t>
  </si>
  <si>
    <t>Медицинский аборт с обследованием и обезболиванием</t>
  </si>
  <si>
    <t>Введение внутриматочного средства контрацепции</t>
  </si>
  <si>
    <t>Наркология</t>
  </si>
  <si>
    <t>1.</t>
  </si>
  <si>
    <t>Определение протромбинового (тромбопластинового) времени</t>
  </si>
  <si>
    <t>Периодическая медицинская комиссия</t>
  </si>
  <si>
    <t>Осмотр врачом-терапевтом</t>
  </si>
  <si>
    <t>Осмотр врачом-офтальмологом</t>
  </si>
  <si>
    <t>Осмотр врачом-оториноларингологом</t>
  </si>
  <si>
    <t>Осмотр врачом-хирургом</t>
  </si>
  <si>
    <t>Осмотр врачом-фтизиатром</t>
  </si>
  <si>
    <t>Осмотр врачом-инфекционистом</t>
  </si>
  <si>
    <t>Осмотр врачом-урологом</t>
  </si>
  <si>
    <t>Осмотр врачом-онкологом</t>
  </si>
  <si>
    <t>Осмотр врачом-стоматологом</t>
  </si>
  <si>
    <t>Вынесение врачом-специалистом заключительного экспертного решения</t>
  </si>
  <si>
    <t>Холодовая проба</t>
  </si>
  <si>
    <t>Электротермометрия</t>
  </si>
  <si>
    <t>2.3.</t>
  </si>
  <si>
    <t>Рентгеновская компьютерная томография позвоночного сегмента с контрастным усилением</t>
  </si>
  <si>
    <t>Реографические исследования (на автоматизированном оборудовании)</t>
  </si>
  <si>
    <t>5.2.1.</t>
  </si>
  <si>
    <t>Исследование центральной гемодинамики</t>
  </si>
  <si>
    <t>5.2.2.</t>
  </si>
  <si>
    <t>Реовазография верхних или нижних конечностей (2 сегмента)</t>
  </si>
  <si>
    <t>5.2.2.1.</t>
  </si>
  <si>
    <t>Рентгенография костей носа</t>
  </si>
  <si>
    <t>1.1.3.8.</t>
  </si>
  <si>
    <t>Рентгенография зубов</t>
  </si>
  <si>
    <t>1.1.3.11.</t>
  </si>
  <si>
    <t>Осмотр врачом-дерматовенерологом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</si>
  <si>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</si>
  <si>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t>
  </si>
  <si>
    <t>Массаж спины (от VII шейного до I поясничного позвонка и от левой до правой средней аксиллярной линии, у детей - включая пояснично-крестцовую область)</t>
  </si>
  <si>
    <t>Массаж мышц передней брюшной стенки</t>
  </si>
  <si>
    <t>шейный отдел</t>
  </si>
  <si>
    <t>грудной отдел</t>
  </si>
  <si>
    <t>поясничный отдел</t>
  </si>
  <si>
    <t>Проведение функциональной пробы при реовазографии (РВГ) верхних или нижних конечностей (2 сегмента) (за одну пробу)</t>
  </si>
  <si>
    <t>5.2.3.</t>
  </si>
  <si>
    <t>Реоэнцефалография (2 симметричных участка)</t>
  </si>
  <si>
    <t>5.2.3.1.</t>
  </si>
  <si>
    <t>Реоэнцефалография (2 симметричных участка) без проведения функциональных проб</t>
  </si>
  <si>
    <t>5.2.3.2.</t>
  </si>
  <si>
    <t>Проведение функциональной пробы при реоэнцефалографии (РЭГ) (2 сегмента) (за одну пробу)</t>
  </si>
  <si>
    <t>5.3.</t>
  </si>
  <si>
    <t>Исследование функции внешнего дыхания (на автоматизированном оборудовании)</t>
  </si>
  <si>
    <t>5.3.1.</t>
  </si>
  <si>
    <t>Исследование функции внешнего дыхания без функциональных проб</t>
  </si>
  <si>
    <t>5.3.2.</t>
  </si>
  <si>
    <t>Проведение функциональной пробы при исследовании функции внешнего дыхания (за одну пробу)</t>
  </si>
  <si>
    <t>5.3.3.</t>
  </si>
  <si>
    <t>Пневмотахометрия</t>
  </si>
  <si>
    <t>5.3.4.</t>
  </si>
  <si>
    <t>Регистрация кривой поток - объем форсированного выдоха</t>
  </si>
  <si>
    <t>5.4.</t>
  </si>
  <si>
    <t>Электроэнцефалографические исследования</t>
  </si>
  <si>
    <t>5.4.1.</t>
  </si>
  <si>
    <t>Электроэнцефалография</t>
  </si>
  <si>
    <t>5.4.2.</t>
  </si>
  <si>
    <t>Электроэнцефалография с компьютерной обработкой данных</t>
  </si>
  <si>
    <t>6.1.</t>
  </si>
  <si>
    <t>Эндоскопические исследования</t>
  </si>
  <si>
    <t>Эндоскопические диагностические исследования</t>
  </si>
  <si>
    <t>6.1.1.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</si>
  <si>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</si>
  <si>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</si>
  <si>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</si>
  <si>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</si>
  <si>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</si>
  <si>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2.6.</t>
  </si>
  <si>
    <t>Динамометрия</t>
  </si>
  <si>
    <t>ИТОГО для мужчин</t>
  </si>
  <si>
    <t>Осмотр врачом акушер-гинекологом</t>
  </si>
  <si>
    <t>ИТОГО для женщин</t>
  </si>
  <si>
    <t>Исследование крови на малярийные паразиты</t>
  </si>
  <si>
    <t>Определение хлора в сыворотке крови</t>
  </si>
  <si>
    <t>Определение общего белка сыворотки крови</t>
  </si>
  <si>
    <t>Тимоловая проба</t>
  </si>
  <si>
    <t>25.</t>
  </si>
  <si>
    <t>Пребывание в палате повышенной комфортности № 9 терапевтического отделения № 2 (за 1 койко-день на 1 человека)</t>
  </si>
  <si>
    <t>Пребывание в палате повышенной комфортности № 1А неврологического отделения (за 1 койко-день на 1 человека)</t>
  </si>
  <si>
    <t>Пребывание в палате повышенной комфортности № 12 неврологического отделения (за 1 койко-день на 1 человека)</t>
  </si>
  <si>
    <t>Пребывание в палате повышенной комфортности офтальмологического отделения (за 1 койко-день на 1 человека)</t>
  </si>
  <si>
    <t>Транспортировка гражданина в сопровождении медицинского работника по желанию гражданина при отсутствии медицинских показаний</t>
  </si>
  <si>
    <t>Транспортировка гражданина в сопровождении медицинского работника 30 мин</t>
  </si>
  <si>
    <t>Транспортировка гражданина в сопровождении медицинского работника 1 час</t>
  </si>
  <si>
    <t>Пребывание в палате повышенной комфортности № 5 кардиологического отделения (за 1 койко-день на 1 человека)</t>
  </si>
  <si>
    <t>Пребывание в палате повышенной комфортности № 15 кардиологического отделения (за 1 койко-день на 1 человека)</t>
  </si>
  <si>
    <t>Рентгенография костей таза</t>
  </si>
  <si>
    <t>1.1.4.1.</t>
  </si>
  <si>
    <t>Коагулограмма</t>
  </si>
  <si>
    <t>Определение резус-фактора и группы крови</t>
  </si>
  <si>
    <t>3.1.1.3.</t>
  </si>
  <si>
    <t xml:space="preserve">на черно-белых ультразвуковых аппаратах </t>
  </si>
  <si>
    <t>3.1.2.</t>
  </si>
  <si>
    <t>Печень, желчный пузырь с определением функции</t>
  </si>
  <si>
    <t>3.1.2.1.</t>
  </si>
  <si>
    <t>3.1.2.2.</t>
  </si>
  <si>
    <t>3.1.2.3.</t>
  </si>
  <si>
    <t>3.1.3.</t>
  </si>
  <si>
    <t>Поджелудочная железа</t>
  </si>
  <si>
    <t>3.1.3.1.</t>
  </si>
  <si>
    <t>3.1.3.2.</t>
  </si>
  <si>
    <t>3.1.3.3.</t>
  </si>
  <si>
    <t>3.1.4.</t>
  </si>
  <si>
    <t>Поджелудочная железа с контрастированием</t>
  </si>
  <si>
    <t>3.1.4.1.</t>
  </si>
  <si>
    <t>3.1.4.2.</t>
  </si>
  <si>
    <t>3.1.4.3.</t>
  </si>
  <si>
    <t>3.1.5.</t>
  </si>
  <si>
    <t>3.1.5.1.</t>
  </si>
  <si>
    <t>3.1.5.2.</t>
  </si>
  <si>
    <t>3.1.5.3.</t>
  </si>
  <si>
    <t>3.1.6.</t>
  </si>
  <si>
    <t>3.1.6.1.</t>
  </si>
  <si>
    <t>Реовазография верхних или нижних конечностей (2 сегмента) без проведения функциональных проб</t>
  </si>
  <si>
    <t>5.2.2.2.</t>
  </si>
  <si>
    <t>Определение натрия в сыворотке крови</t>
  </si>
  <si>
    <t>Определение калия в сыворотке крови</t>
  </si>
  <si>
    <t>Определение индивидуальных белков сыворотки крови (СРБ - ингибитор)</t>
  </si>
  <si>
    <t>Физиотерапия и массаж</t>
  </si>
  <si>
    <t>3.14.</t>
  </si>
  <si>
    <t>3.4.10.2.</t>
  </si>
  <si>
    <t>3.4.21.</t>
  </si>
  <si>
    <t>3.4.18.</t>
  </si>
  <si>
    <t>Эхоэнцефалография (М-эхо) на черно-белых аппаратах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</si>
  <si>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БЦА</t>
  </si>
  <si>
    <t>3.4.18.1.</t>
  </si>
  <si>
    <t>3.4.18.2.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</si>
  <si>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вен нижних конечностей</t>
  </si>
  <si>
    <t>Регистрация освидетельствуемого медицинским регистратором</t>
  </si>
  <si>
    <t>1.19.</t>
  </si>
  <si>
    <t xml:space="preserve">Массаж нижней конечности </t>
  </si>
  <si>
    <t>1.21.</t>
  </si>
  <si>
    <t>1.22.</t>
  </si>
  <si>
    <t>Массаж тазобедренного сустава (верхней трети бедра, области тазобежренного сустава и ягодичной области одноименной стороны)</t>
  </si>
  <si>
    <t>Освидетельствование на допуск к работе</t>
  </si>
  <si>
    <t>1.37.</t>
  </si>
  <si>
    <t>видимое инфракрасное облучение местное (Биоптрон, Ромашка, Нуга-Бест)</t>
  </si>
  <si>
    <t>Первичный прием:</t>
  </si>
  <si>
    <t>оказание социально-психологической помощи родственникам больного наркологического профиля (по желанию) врачом-наркологом (анонимно)</t>
  </si>
  <si>
    <t>Лечение синдрома отмены алкоголя (анонимно):</t>
  </si>
  <si>
    <t>локтевой сустав</t>
  </si>
  <si>
    <t>плечо</t>
  </si>
  <si>
    <t>плечевой сустав</t>
  </si>
  <si>
    <t>стопа</t>
  </si>
  <si>
    <t>голеностопный сустав</t>
  </si>
  <si>
    <t>голень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</si>
  <si>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</si>
  <si>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3.1.1.2.</t>
  </si>
  <si>
    <t>на цветных ультразвуковых аппаратах с допплером (аналоговые и с количеством цифровых каналов менее 512)</t>
  </si>
  <si>
    <t>1.8.</t>
  </si>
  <si>
    <t>1.9.</t>
  </si>
  <si>
    <t>Массаж лучезапястного сустава (проксимального отдела кисли, области лучезапястного сустава и предплечья)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</si>
  <si>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</si>
  <si>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</si>
  <si>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</si>
  <si>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</si>
  <si>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</si>
  <si>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</si>
  <si>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</si>
  <si>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</si>
  <si>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</si>
  <si>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Определение контракционной способности почек</t>
  </si>
  <si>
    <t>Исследование дуоденального содержимого</t>
  </si>
  <si>
    <t>Исследование кала</t>
  </si>
  <si>
    <t>Обнаружение крови</t>
  </si>
  <si>
    <t xml:space="preserve">Обнаружение простейших </t>
  </si>
  <si>
    <t>Обнаружение яиц гельминтов</t>
  </si>
  <si>
    <t>Исследование соскобана энтеробиоз</t>
  </si>
  <si>
    <t>Души (дождевой, циркулярный, восходящий, горизонтальный)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</si>
  <si>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</si>
  <si>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Урология</t>
  </si>
  <si>
    <t>Определение содержания фибриногена в плазме крови</t>
  </si>
  <si>
    <t>Определение активности креатинфосфокиназы</t>
  </si>
  <si>
    <t>Диагностические офтальмологические исследования:</t>
  </si>
  <si>
    <t>Определение хеликобактериоза тестом "Хелпил"</t>
  </si>
  <si>
    <t>Плод в I триместре с 11 до 14 недель беременности или в II или III триместрах беременности при наличии пороков плода</t>
  </si>
  <si>
    <t>3.2.15.1.</t>
  </si>
  <si>
    <t>3.2.15.2.</t>
  </si>
  <si>
    <t>3.2.15.3.</t>
  </si>
  <si>
    <t>3.2.16.</t>
  </si>
  <si>
    <t>3.2.16.1.</t>
  </si>
  <si>
    <t>3.2.16.2.</t>
  </si>
  <si>
    <t>3.2.16.3.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</si>
  <si>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 жидкостью)</t>
  </si>
  <si>
    <t>Ультразвуковые исследования других органов:</t>
  </si>
  <si>
    <t>3.3.1.</t>
  </si>
  <si>
    <t>Щитовидная железа с лимфатическими поверхностными узлами</t>
  </si>
  <si>
    <t>3.3.1.1.</t>
  </si>
  <si>
    <t>3.3.1.2.</t>
  </si>
  <si>
    <t>3.3.1.3.</t>
  </si>
  <si>
    <t>3.3.2.</t>
  </si>
  <si>
    <t>Молочные железы с лимфатическими поверхностными узлами</t>
  </si>
  <si>
    <t>3.3.2.1.</t>
  </si>
  <si>
    <t>3.3.2.2.</t>
  </si>
  <si>
    <t>3.3.2.3.</t>
  </si>
  <si>
    <t>3.3.3.</t>
  </si>
  <si>
    <t>Объемное восстановление с цветным картированием</t>
  </si>
  <si>
    <t>Подсчет объема</t>
  </si>
  <si>
    <t>Виртуальная эндоскопия</t>
  </si>
  <si>
    <t>Сравнение КТ исследований в динамике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</si>
  <si>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</si>
  <si>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Особо трудоемкие программы одновременного количественного опредления и реконструкции (восстановление частичного объма, динамическая оценка объма, подсчет количества и объема множественных патологических фокусов)</t>
  </si>
  <si>
    <t>1.1.7.20.1.</t>
  </si>
  <si>
    <t>1.1.7.20.2.</t>
  </si>
  <si>
    <t>1.1.7.20.3.</t>
  </si>
  <si>
    <t>1.1.7.20.4.</t>
  </si>
  <si>
    <t>1.1.7.20.5.</t>
  </si>
  <si>
    <t>1.1.7.20.6.</t>
  </si>
  <si>
    <t>1.1.7.20.7.</t>
  </si>
  <si>
    <t>Рентгеновская компьютерная томография позвоночного сегмента без контрастного усиления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</si>
  <si>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</si>
  <si>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</si>
  <si>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VII шейного позвонка до крестца и от левой до правой средней аксиллярной линии)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</si>
  <si>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</si>
  <si>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</si>
  <si>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Рентгенография ключицы</t>
  </si>
  <si>
    <t>1.1.3.12.</t>
  </si>
  <si>
    <t xml:space="preserve">Рентгенография лопатки в двух проекциях </t>
  </si>
  <si>
    <t>1.1.3.13.</t>
  </si>
  <si>
    <t>Рентгенография ребер</t>
  </si>
  <si>
    <t>1.1.3.14.</t>
  </si>
  <si>
    <t xml:space="preserve">Рентгенография грудины </t>
  </si>
  <si>
    <t>1.1.3.16.</t>
  </si>
  <si>
    <t>Рентгеновская компьютерная томография</t>
  </si>
  <si>
    <t>1.1.7.22.1.</t>
  </si>
  <si>
    <t>1.1.7.23.1.</t>
  </si>
  <si>
    <t>1.1.7.24.1.</t>
  </si>
  <si>
    <t>1.1.7.25.1.</t>
  </si>
  <si>
    <t>1.1.7.26.1.</t>
  </si>
  <si>
    <t>1.1.7.27.1.</t>
  </si>
  <si>
    <t>1.1.7.28.1.</t>
  </si>
  <si>
    <t>1.1.7.29.1.</t>
  </si>
  <si>
    <t>1.1.7.30.1.</t>
  </si>
  <si>
    <t>1.1.7.31.1.</t>
  </si>
  <si>
    <t>1.1.7.32.1.</t>
  </si>
  <si>
    <t>1.1.7.33.1.</t>
  </si>
  <si>
    <t>1.1.7.34.1.</t>
  </si>
  <si>
    <t>Онкомаркер рецидива рака толстой и прямой кишки (КЭА)</t>
  </si>
  <si>
    <t>1.1.3.9.</t>
  </si>
  <si>
    <t>Ортопантомография</t>
  </si>
  <si>
    <t>Взятие крови из пальца "Гематологический набор"</t>
  </si>
  <si>
    <t>2.7.</t>
  </si>
  <si>
    <t>2.10.</t>
  </si>
  <si>
    <t>Надвенное лазерное облучение, магнитолазерное облучение</t>
  </si>
  <si>
    <t>2.8.</t>
  </si>
  <si>
    <t>2.9.</t>
  </si>
  <si>
    <t>Ренгенография нижней челюстей</t>
  </si>
  <si>
    <t>1.1.3.7.</t>
  </si>
  <si>
    <t>1.23.</t>
  </si>
  <si>
    <t>1.24.</t>
  </si>
  <si>
    <t>Осмотр врачом-психиатром-наркологом (наркологического профиля)</t>
  </si>
  <si>
    <t>5.1.3.</t>
  </si>
  <si>
    <t>Велоэргометрия</t>
  </si>
  <si>
    <t>Селезенка</t>
  </si>
  <si>
    <t>усиление психотерапевтического "кода" по методу А.Р. Довженко (анонимно)</t>
  </si>
  <si>
    <t>снятие психотерапевтического "кода" по методу А.Р. Довженко (анонимно)</t>
  </si>
  <si>
    <t>внутривенное введение препаратов "дисульфирам", плацебо (анонимно)</t>
  </si>
  <si>
    <t>Промывание наружного слухового прохода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</si>
  <si>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</si>
  <si>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</si>
  <si>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</si>
  <si>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</si>
  <si>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 xml:space="preserve">Миринготомия (парацентез) </t>
  </si>
  <si>
    <t>Акуметрия (исследование слуха шепотной речью,камертонами)</t>
  </si>
  <si>
    <t>Импедансометрия</t>
  </si>
  <si>
    <t>Промывание хронического уха аттиковой канюлей</t>
  </si>
  <si>
    <t>2.11.</t>
  </si>
  <si>
    <t>Массаж барабанной перепонки</t>
  </si>
  <si>
    <t>2.12.</t>
  </si>
  <si>
    <t>Туалет уха</t>
  </si>
  <si>
    <t>2.13.</t>
  </si>
  <si>
    <t>Вскрытие абсцедирующего фурункула наружного слухового прохода</t>
  </si>
  <si>
    <t>2.14.</t>
  </si>
  <si>
    <t>Первичная хирургическая обработка раны</t>
  </si>
  <si>
    <t>2.15.</t>
  </si>
  <si>
    <t>Обработка слизистой носа, глотки, гортани лекарственными препаратами</t>
  </si>
  <si>
    <t>2.16.</t>
  </si>
  <si>
    <t>Промывание лакун миндалин</t>
  </si>
  <si>
    <t>2.18.</t>
  </si>
  <si>
    <t>Удаление инородного тела гортаноглотки</t>
  </si>
  <si>
    <t>Внутригортанное вливание лекарственных средств</t>
  </si>
  <si>
    <t>Пункция верхнечелюстной пазухи</t>
  </si>
  <si>
    <t>Удаление инородного тела из носа</t>
  </si>
  <si>
    <t>2.22.</t>
  </si>
  <si>
    <t>Вскрытие абсцедирующих фурункулов носа</t>
  </si>
  <si>
    <t>Анемизация слизистой носа и носоглотки</t>
  </si>
  <si>
    <t>Анестезия слизистых</t>
  </si>
  <si>
    <t>2.25.</t>
  </si>
  <si>
    <t>Наложение повязки</t>
  </si>
  <si>
    <t>Передняя тампонада носа</t>
  </si>
  <si>
    <t>Расширение перитонзиллярного абсцесса</t>
  </si>
  <si>
    <t>Радиокаутеризация папиллом (гранул) ротоглотки, носа</t>
  </si>
  <si>
    <t>Ручная репозиция костей носа при переломах с тампонадой и наложением повязки</t>
  </si>
  <si>
    <t>2.31.</t>
  </si>
  <si>
    <t>Вскрытие перитонзиллярных абсцессов</t>
  </si>
  <si>
    <t>2.33.</t>
  </si>
  <si>
    <t>Снятие швов</t>
  </si>
  <si>
    <t>2.35.</t>
  </si>
  <si>
    <t>Полипотомия носа</t>
  </si>
  <si>
    <t>2.41.</t>
  </si>
  <si>
    <t>Фотокоагуляция нижних носовых раковин</t>
  </si>
  <si>
    <t>2.42.</t>
  </si>
  <si>
    <t>Рассечение синехий (рубцов) носовых ходов лазером</t>
  </si>
  <si>
    <t>Эндоскопическое исследование носа  носоглотки</t>
  </si>
  <si>
    <t>ЗАБОР МАТЕРИАЛА ДЛЯ ЛАБОРАТОРНЫХ ИССЛЕДОВАНИЙ</t>
  </si>
  <si>
    <t>Забор мазков-отпечатков из гортаноглотки на цитологию</t>
  </si>
  <si>
    <t>Забор материала из носа на эозинофилы</t>
  </si>
  <si>
    <t>Забор материала для микробиологического исследования</t>
  </si>
  <si>
    <t>Дерматология</t>
  </si>
  <si>
    <t>1.1.5.</t>
  </si>
  <si>
    <t>Рентгенологические исследования молочной железы</t>
  </si>
  <si>
    <t>1.1.5.1.</t>
  </si>
  <si>
    <t>Обзорная рентгенография молочной железы</t>
  </si>
  <si>
    <t>1.1.5.1.1.</t>
  </si>
  <si>
    <t>1.1.5.1.2.</t>
  </si>
  <si>
    <t>1.1.5.4.</t>
  </si>
  <si>
    <t>Рентгенография мягких тканей подмышечной области</t>
  </si>
  <si>
    <t>Исследование обделяемого половых органов на гонококки без забора материала в лаборатории для женщин</t>
  </si>
  <si>
    <t>Исследование обделяемого половых органов на гонококки без забора материала в лаборатории для мужчин</t>
  </si>
  <si>
    <t>Онкомаркер рака яичников (СА 125-ИФА)</t>
  </si>
  <si>
    <t>Онкомаркер рака молочной железы (СА 15.3-ИФА)</t>
  </si>
  <si>
    <t>Онкомаркер рака поджелудочной железы, печени, желудка, толстого и тонкого кишечника (СА 19.9-ИФА)</t>
  </si>
  <si>
    <t>Онкомаркер альфа-фето-протеин (печень, яичники, яички, патология плода) (АФП-ИФА)</t>
  </si>
  <si>
    <t>Проведение процедуры вакцинации против бешенства</t>
  </si>
  <si>
    <t>Проведение процедуры вакцинации против гепатита В (в/мышечно) Эувакс</t>
  </si>
  <si>
    <t>Оказание стационарных медицинских услуг</t>
  </si>
  <si>
    <t xml:space="preserve">Манипуляции общего назначения </t>
  </si>
  <si>
    <t>Внутримышечная инъекция</t>
  </si>
  <si>
    <t>Внутривенное капельное введение раствора лекарственного средства объемом 200 мл</t>
  </si>
  <si>
    <t>Внутривенное капельное введение раствора лекарственного средства объемом 400 мл</t>
  </si>
  <si>
    <t>Внутривенное капельное введение раствора лекарственного средства объемом 800 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</si>
  <si>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</si>
  <si>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</si>
  <si>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</si>
  <si>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Промывание желудка</t>
  </si>
  <si>
    <t>Очистительная клизма</t>
  </si>
  <si>
    <t>Лекарственная клизма</t>
  </si>
  <si>
    <t>Сифонная клизма</t>
  </si>
  <si>
    <t>Масляная клизма</t>
  </si>
  <si>
    <t>Гипертоническая клизма</t>
  </si>
  <si>
    <t>Измерение артериального давления</t>
  </si>
  <si>
    <t>Массаж области позвоночника (области задней поверхности шеи, спины и пояснично-крестцовой области и от левой до правой задней аксиллярной линии)</t>
  </si>
  <si>
    <t>Массаж нижней конечности и поясницы (области стопы, голени, бедра, ягодичной и пояснично-крестцовой области)</t>
  </si>
  <si>
    <t>Массаж коленного сустава (верхней трети голени, области коленного сустава и нижней трети бедра)</t>
  </si>
  <si>
    <t>Массаж стопы голени</t>
  </si>
  <si>
    <t>Общий массаж (у детей грудного и младшего дошкольного возраста)</t>
  </si>
  <si>
    <t>1.3.2.</t>
  </si>
  <si>
    <t>1.5.</t>
  </si>
  <si>
    <t>1.5.1.</t>
  </si>
  <si>
    <t>лечение синдрома зависимости вследствие употребления летучих растворителей эмоционально-стресспсихотерапией по методу А.Р. Довженко (анонимно)</t>
  </si>
  <si>
    <t>1.7.</t>
  </si>
  <si>
    <t>1.7.1.</t>
  </si>
  <si>
    <t>инъекция внутривенная для больных наркологического профиля (анонимно)</t>
  </si>
  <si>
    <t>1.7.2.</t>
  </si>
  <si>
    <t>1.7.3.</t>
  </si>
  <si>
    <t>2.</t>
  </si>
  <si>
    <t>Медицинское освидетельствование</t>
  </si>
  <si>
    <t>активная антиалкогольная терапия сенсибилизирующими препаратами (анонимно)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</si>
  <si>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 (анонимно)</t>
  </si>
  <si>
    <t>лечение синдрома алкогольной зависимости эмоционально-стресспсихотерапией по методу А.Р. Довженко (анонимно)</t>
  </si>
  <si>
    <t>2.28.</t>
  </si>
  <si>
    <t>2.29.</t>
  </si>
  <si>
    <t>Рефлексотерапия</t>
  </si>
  <si>
    <t>Первичная консультация врача-рефлексотерапевта</t>
  </si>
  <si>
    <t>Повторная консультация врача-рефлексотерапевта</t>
  </si>
  <si>
    <t>2.2.1.</t>
  </si>
  <si>
    <t>Выявление альгических точек (зон) на кистях</t>
  </si>
  <si>
    <t>2.2.2.</t>
  </si>
  <si>
    <t>Выявление альгических точек (зон) на стопах</t>
  </si>
  <si>
    <t>2.2.3.1.</t>
  </si>
  <si>
    <t>Выявление альгических точек (зон) на ушной раковине (аурикулярное тестирование) методом зондирования</t>
  </si>
  <si>
    <t>Классическое иглоукалывание (акупунктура)</t>
  </si>
  <si>
    <t>Микроиглоукалывание</t>
  </si>
  <si>
    <t>Поверхностное иглоукалывание</t>
  </si>
  <si>
    <t>3.4.1.</t>
  </si>
  <si>
    <t>Вакуумрефлексотерапия, стабильная методика</t>
  </si>
  <si>
    <t>3.4.3.</t>
  </si>
  <si>
    <t>Вакуумиглоукалывание</t>
  </si>
  <si>
    <t>Аппликационная рефлексотерапия</t>
  </si>
  <si>
    <t>3.9.</t>
  </si>
  <si>
    <t>Скальпорефлексотерапия</t>
  </si>
  <si>
    <t>Аурикулярная рефлексотерапия</t>
  </si>
  <si>
    <t>Кольпоперинеопластика</t>
  </si>
  <si>
    <t>Пробирка для крови биохимическая</t>
  </si>
  <si>
    <t>Рентгенологические исследования на аппарате "Космос"</t>
  </si>
  <si>
    <t>Вакуумная система для забора венозной крови</t>
  </si>
  <si>
    <t>Определение ЛДГ в сыворотке крови</t>
  </si>
  <si>
    <t>Определение ГГТ в сыворотке крови</t>
  </si>
  <si>
    <t>Определение альбумина в сыворотке крови</t>
  </si>
  <si>
    <t>Определение щелочной фосфатазы в сыворотке крови</t>
  </si>
  <si>
    <t>Определение антистрептолизина О в сыворотке крови</t>
  </si>
  <si>
    <t>Определение микроальбумина в сыворотке крови</t>
  </si>
  <si>
    <t>4.1.</t>
  </si>
  <si>
    <t>Мазок с конъюктивы для исследования на флору и чувствительность к антибиотикам</t>
  </si>
  <si>
    <t>4.2.</t>
  </si>
  <si>
    <t>Промывание слезных путей</t>
  </si>
  <si>
    <t>Определение полового гормона - "прогестерон"</t>
  </si>
  <si>
    <t>Определение полового гормона - "тестостерон"</t>
  </si>
  <si>
    <t>Определение полового гормона - "лютенизирующий"</t>
  </si>
  <si>
    <t>Определение полового гормона - "фолликулостимулирующий"</t>
  </si>
  <si>
    <t>Определение полового гормона - "пролактин"</t>
  </si>
  <si>
    <t>Определение простатспецифического антигена (общ ПСА)</t>
  </si>
  <si>
    <t>Кардиотокограмма плода</t>
  </si>
  <si>
    <t>Сеанс групповой нервно-мышечной релаксации врачом 1 категории (1 человек)</t>
  </si>
  <si>
    <t>Сеанс групповой нервно-мышечной релаксации врачом 2 категории (1 человек)</t>
  </si>
  <si>
    <t>Определение антител к цитомегаловирусу</t>
  </si>
  <si>
    <t>Определение антител к вирусу простого герпеса</t>
  </si>
  <si>
    <t>Определение антител к возбудителю токсоплазмоза человека</t>
  </si>
  <si>
    <t>Бактериологическое обследование на гонококовую инфекцию (для женщин)</t>
  </si>
  <si>
    <t>Бактериологическое обследование на гонококовую инфекцию (для мужчин)</t>
  </si>
  <si>
    <t>Прием врача-офтальмолога первичный</t>
  </si>
  <si>
    <t>Прием врача-офтальмолога повторный</t>
  </si>
  <si>
    <t>Прием врача-оториноларинголога первичный</t>
  </si>
  <si>
    <t>Прием врача-оториноларголога повторный</t>
  </si>
  <si>
    <t>Первичный прием врача-акушер-гинеколога</t>
  </si>
  <si>
    <t>Повторный прием врача-акушер-гинеколога</t>
  </si>
  <si>
    <t>Забор мазка на исследование</t>
  </si>
  <si>
    <t>Кольпоцитология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</si>
  <si>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</si>
  <si>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</si>
  <si>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</si>
  <si>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Кольпоскопия расширенная с цитологией</t>
  </si>
  <si>
    <t>Лечебная процедура (1 ванночка)</t>
  </si>
  <si>
    <t>Лечебная процедура (введение лечебных тампонов)</t>
  </si>
  <si>
    <t>Лечебная процедура (орошение влагалища)</t>
  </si>
  <si>
    <t>Аспирационная биопсия из полости матки</t>
  </si>
  <si>
    <t>Биопсия шейки матки (конхотомом)</t>
  </si>
  <si>
    <t>Биопсия шейки матки (ножевая)</t>
  </si>
  <si>
    <t>Биопсия шейки матки и раздельне диагностическое выскабливание</t>
  </si>
  <si>
    <t>Полипэктомия и раздельное диагностическое выскабливание</t>
  </si>
  <si>
    <t>Гистероскопия диагностическая</t>
  </si>
  <si>
    <t>Гистероскопия с биопсией эндометрии</t>
  </si>
  <si>
    <t>Гистероскопия с раздельным диагностическим выскабливанием</t>
  </si>
  <si>
    <t>Удаление внутриматочного средства и раздельное диагностическое выскабливание</t>
  </si>
  <si>
    <t>Организация индивидуального ухода за больной и новорожденным в послеродовом периоде при отсутствии медицинских показаний</t>
  </si>
  <si>
    <t>Организация индивидуального ухода за больной в гинекологическом отделении при отсутствии медицинских показаний</t>
  </si>
  <si>
    <t>Организация индивидуального ухода за больной  в отделении патологии беременности при отсутствии медицинских показаний</t>
  </si>
  <si>
    <t>Ректальный осмотр простаты</t>
  </si>
  <si>
    <t>Лечебный массаж предстательной железы</t>
  </si>
  <si>
    <t>Взятие мазка из уретры</t>
  </si>
  <si>
    <t>Инстилляция в переднюю уретру</t>
  </si>
  <si>
    <t>Инстиляция задней уретры</t>
  </si>
  <si>
    <t>Катетеризация мочевого пузыря</t>
  </si>
  <si>
    <t>Блокада семенного канатика</t>
  </si>
  <si>
    <t>Интракавенозное введение лекарственного препарата</t>
  </si>
  <si>
    <t>Пункция гидроцеле</t>
  </si>
  <si>
    <t>Рассечение короткой уздечки</t>
  </si>
  <si>
    <t>Круговое иссечение крайней плоти</t>
  </si>
  <si>
    <t>ЭЛЕКТРОЛЕЧЕНИЕ</t>
  </si>
  <si>
    <t>Гальванизация общая, местная</t>
  </si>
  <si>
    <t>Электрофорез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</si>
  <si>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</si>
  <si>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</si>
  <si>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неврно-мышечных структур в области туловища, конечностей</t>
  </si>
  <si>
    <t>Электросон, трансцеребральная электротерапия</t>
  </si>
  <si>
    <t>Диадинамотерапия</t>
  </si>
  <si>
    <t>Амплипульстерапия</t>
  </si>
  <si>
    <t>Интерференцтерапия</t>
  </si>
  <si>
    <t>Электротерапия импульсными токами низкой частоты</t>
  </si>
  <si>
    <t>Ультратонотерапия</t>
  </si>
  <si>
    <t>Дарсонвализация местная</t>
  </si>
  <si>
    <t>Франклинизация общая</t>
  </si>
  <si>
    <t>Франклинизация местная</t>
  </si>
  <si>
    <t>Ультравысокочастотная терапия</t>
  </si>
  <si>
    <t>Дециметроволновая терапия</t>
  </si>
  <si>
    <t>1.27.</t>
  </si>
  <si>
    <t>Сантиметроволновая терапия</t>
  </si>
  <si>
    <t>Микроволновая терапия полостная</t>
  </si>
  <si>
    <t>Миллиметроволновая терапия</t>
  </si>
  <si>
    <t>Магнитотерапия местная</t>
  </si>
  <si>
    <t>Магнитотерапия полостная</t>
  </si>
  <si>
    <t>СВЕТОЛЕЧЕНИЕ</t>
  </si>
  <si>
    <t>Определение биодозы</t>
  </si>
  <si>
    <t>Ультрафиолетовое облучение общее</t>
  </si>
  <si>
    <t>Ультрафиолетовое облучение местное</t>
  </si>
  <si>
    <t>Ультрафиолетовое облучение групповое</t>
  </si>
  <si>
    <t>Видимое, инфракрасное облучение, местное</t>
  </si>
  <si>
    <t>Лазеротерапия, магнитолазеротерапия чрескожная</t>
  </si>
  <si>
    <t>ВОЗДЕЙСТВИЕ ФАКТОРАМИ МЕХАНИЧЕСКОЙ ПРИРОДЫ</t>
  </si>
  <si>
    <t>Ультразвуковая терапия</t>
  </si>
  <si>
    <t>Ультрафонофорез</t>
  </si>
  <si>
    <t>Виброакустическая терапия</t>
  </si>
  <si>
    <t>ИНГАЛЯЦИОННАЯ ТЕРАПИЯ</t>
  </si>
  <si>
    <t>Аэроионотерапия групповая</t>
  </si>
  <si>
    <t>4.4.</t>
  </si>
  <si>
    <t>Ингаляции лекарственные</t>
  </si>
  <si>
    <t>4.5.</t>
  </si>
  <si>
    <t>Ингаляции ультразвуковые</t>
  </si>
  <si>
    <t>ГИДРОТЕРАПИЯ</t>
  </si>
  <si>
    <t>ТЕРМОЛЕЧЕНИЕ</t>
  </si>
  <si>
    <t>7.1.</t>
  </si>
  <si>
    <t>Парафиновые, озокеритные аппликации</t>
  </si>
  <si>
    <t>Прием врачами-специалистами</t>
  </si>
  <si>
    <t>Первичный прием врачом-гастроэнтерологом</t>
  </si>
  <si>
    <t>Первичный прием врачом-инфекционистом</t>
  </si>
  <si>
    <t>Первичный прием врачом-кардиологом</t>
  </si>
  <si>
    <t>Первичный прием врачом-неврологом</t>
  </si>
  <si>
    <t>Первичный прием врачом-нефрологом</t>
  </si>
  <si>
    <t>Первичный прием врачом общей практики</t>
  </si>
  <si>
    <t>Первичный прием врачом-пульмонологом</t>
  </si>
  <si>
    <t>Первичный прием врачом-терапевтом</t>
  </si>
  <si>
    <t>Первичный прием врачом-фтизиатром</t>
  </si>
  <si>
    <t>Первичный прием врачом-эндокринологом</t>
  </si>
  <si>
    <t>Повторный прием врачом-гастроэнтерологом</t>
  </si>
  <si>
    <t>Повторный прием врачом-инфекционистом</t>
  </si>
  <si>
    <t>Повторный прием врачом-кардиологом</t>
  </si>
  <si>
    <t>Повторный прием врачом-неврологом</t>
  </si>
  <si>
    <t>Повторный прием врачом-нефрологом</t>
  </si>
  <si>
    <t>Повторный прием врачом общей практики</t>
  </si>
  <si>
    <t>Повторный прием врачом-пульмонологом</t>
  </si>
  <si>
    <t>Повторный прием врачом-терапевтом</t>
  </si>
  <si>
    <t>Повторный прием врачом-фтизиатром</t>
  </si>
  <si>
    <t>Повторный прием врачом-эндокринологом</t>
  </si>
  <si>
    <t>Анестезиология</t>
  </si>
  <si>
    <t>Подготовка к проведению анестезии и постнаркозное наблюдение</t>
  </si>
  <si>
    <t>Ингаляционная анестезия с сохранением спонтанного дыхания</t>
  </si>
  <si>
    <t>Тотальная внутривенная анестезия с сохранением спонтанного дыхания</t>
  </si>
  <si>
    <t>Сбалансированная анестезия с искусственной вентиляцией легких</t>
  </si>
  <si>
    <t>Тотальная внутривенная анестезия с искусственной вентиляцией легких</t>
  </si>
  <si>
    <t>Спинальная (субарахноидальная) анестезия</t>
  </si>
  <si>
    <t>Эпидуральная анестезия</t>
  </si>
  <si>
    <t>Сакральная анестезия</t>
  </si>
  <si>
    <t>Комбинированная анестезия (эпидуральная плюс общая анестезия с искусственной вентиляцией легких)</t>
  </si>
  <si>
    <t>Периферическая регионарная блокада: блокада плечевого сплетения</t>
  </si>
  <si>
    <t>Периферическая регионарная блокада: блокада бедренного нерва</t>
  </si>
  <si>
    <t>Периферическая регионарная блокада: блокада седалищного нерва</t>
  </si>
  <si>
    <t>Периферическая регионарная блокада: блокада запирательного нерва</t>
  </si>
  <si>
    <t>Периферическая регионарная блокада: блокада лучевого, срединного и локтевого нервов</t>
  </si>
  <si>
    <t>Хирургические манипуляции</t>
  </si>
  <si>
    <t>Первичный прием врача-хирурга</t>
  </si>
  <si>
    <t>Повторный прием врача-хирурга</t>
  </si>
  <si>
    <t>Перевязка</t>
  </si>
  <si>
    <t>Наложение гипсовой лонгеты</t>
  </si>
  <si>
    <t>Снятие гипсовой лонгеты</t>
  </si>
  <si>
    <t>Вправление вывиха</t>
  </si>
  <si>
    <t>Внутрисуставная блокада</t>
  </si>
  <si>
    <t>Анестезия места перелома</t>
  </si>
  <si>
    <t>Паравертибральная блокада</t>
  </si>
  <si>
    <t>Блокада перианальная копчиковая</t>
  </si>
  <si>
    <t>Блокада паранефральная</t>
  </si>
  <si>
    <t>Лечебно-диагностическая пункция</t>
  </si>
  <si>
    <t>Лечебно-диагностическая пункция с забором материала для исследования</t>
  </si>
  <si>
    <t xml:space="preserve">Трепанбиопсия костная или костнопозвоночная </t>
  </si>
  <si>
    <t>Общая хирургия</t>
  </si>
  <si>
    <t>Вскрытие и дренирование фурункула, или карбункула, или операция гидраденита</t>
  </si>
  <si>
    <t>Радикальное иссечение и дренирование флегмон или абцессов</t>
  </si>
  <si>
    <t>Вскрытие и дренирование флегмон или абцессов мягких тканей кисти</t>
  </si>
  <si>
    <t>Удаление нагноившейся опухоли</t>
  </si>
  <si>
    <t>Вскрытие кожного или подкожного панариция</t>
  </si>
  <si>
    <t>Вскрытие и дренирование костного или суставного, или операция сухожильной панарации</t>
  </si>
  <si>
    <t>Первичной обработка ожогов или иссечение некратических тканей</t>
  </si>
  <si>
    <t>Иссечение гнойного бартолинита</t>
  </si>
  <si>
    <t>Аутодермопластика свыше 100 кв.см.</t>
  </si>
  <si>
    <t>Удаление ногтя</t>
  </si>
  <si>
    <t>Радикальная операция при гидрадените</t>
  </si>
  <si>
    <t>Лапароскопическая холицистэктомия</t>
  </si>
  <si>
    <t>Открытие холецистектомии</t>
  </si>
  <si>
    <t>Лапароскопическая герниопластика</t>
  </si>
  <si>
    <t>Грыжесечение паховой грыжи (простой)</t>
  </si>
  <si>
    <t>Грыжесечение паховой грыжи двусторонней (простой)</t>
  </si>
  <si>
    <t>Грыжесечение паховой грыжи (рецидивной)</t>
  </si>
  <si>
    <t>Грыжесечение паховой грыжи с использованием аллопластики</t>
  </si>
  <si>
    <t>Грыжесечение пупочной грыжи (простой)</t>
  </si>
  <si>
    <t>Грыжесечение пупочной грыжи (рецидивной)</t>
  </si>
  <si>
    <t>Грыжесечение пупочной грыжи с использованием алломатериала</t>
  </si>
  <si>
    <t>Операция по поводу диастаза прямых мышц живота</t>
  </si>
  <si>
    <t>Грыжесечение грыжи спигелевой линии</t>
  </si>
  <si>
    <t>Грыжесечение бедренной грыжи простой</t>
  </si>
  <si>
    <t>Грыжесечение бедренной грыжи с использованием аллопластики</t>
  </si>
  <si>
    <t>Операция по поводу послеоперационной венральной грыжи (простой)</t>
  </si>
  <si>
    <t>Операция по поводу послеоперационной грыжи (сложной)</t>
  </si>
  <si>
    <t>Операция по поводу послеоперационной гиганской грыжи</t>
  </si>
  <si>
    <t>Операция по поводу послеоперационной вентральной грыжи неосложненной с использованием аутодермопластики</t>
  </si>
  <si>
    <t>Операция по поводу послеоперационной вентральной грыжи неосложненной с использованием алломатериалов</t>
  </si>
  <si>
    <t>Операция по поводу послеоперационной вентральной грыжи неосложненной с использованием аллопластики с видеоподдержкой</t>
  </si>
  <si>
    <t>Исследование кожи и слизистых, ногтей, волос на дерматофиты и дрожжеподобные грибы с забором материала в лаборатории: микроскопия препаратов нативного материала</t>
  </si>
  <si>
    <t>Исследование кожи и слизистых, ногтей, волос на дерматофиты и дрожжеподобные грибы с забором материала в лаборатории: культуральное исследование: при отсутствии грибов</t>
  </si>
  <si>
    <t>Исследование кожи и слизистых, ногтей, волос на дерматофиты и дрожжеподобные грибы с забором материала в лаборатории: культуральное исследование: при выделении грибов с изучением морфологических свойств</t>
  </si>
  <si>
    <t>Рентгеновская компьютерная томография артерий и вен нижних конечностей с контрастным усилением</t>
  </si>
  <si>
    <t>Первичный прием больных с инфекциями, передаваемыми половым путем (мужчины)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</si>
  <si>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</si>
  <si>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</si>
  <si>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</si>
  <si>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Первичный прием врачом-дерматовенерологом</t>
  </si>
  <si>
    <t>Повторный прием врачом-дерматовенерологом</t>
  </si>
  <si>
    <t>Взятие материала на Neisseria gonorrhoeae и Trichomonas vaginalis из уретры</t>
  </si>
  <si>
    <t>Взятие материала на микрофлору из уретры для исследования методом РНИФ</t>
  </si>
  <si>
    <t>Взятие материала на Chlamidia trachomatis из уретры для исследования методом РИФ</t>
  </si>
  <si>
    <t>Взятие материала на Ureaplasma urealiticum из уретры для исследования методом РИФ</t>
  </si>
  <si>
    <t>Взятие материала на Micoplasma hominis из уретры для исследования методом РИФ</t>
  </si>
  <si>
    <t>Взятие материала на герпетические инфекции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</si>
  <si>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</si>
  <si>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</si>
  <si>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</si>
  <si>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3.11.</t>
  </si>
  <si>
    <t>Взятие материала на Сhlamidia trachomatis, Micoplasma genitalium и Micoplasma hominis, Ureaplasma urealiticum, Trichomonas vaginalis, Neisseria gonorrhoeae, пилломавирусную, цитомегаловирусную, герпетическую инфекции, Gardnerella vaginalis из уретры для исследования методом ПЦР</t>
  </si>
  <si>
    <t>3.12.</t>
  </si>
  <si>
    <t>Взятие материала на дрожжевые грибы со слизистых оболочек гениталий для исследования микроскопическим методом</t>
  </si>
  <si>
    <t>3.13.</t>
  </si>
  <si>
    <t>Взятие материала на дрожжевые грибы со слизистых оболочек гениталий для исследования бактериологическим методом</t>
  </si>
  <si>
    <t>Взятие материала для комплексных исследований на патогенную и условно-патогенную флору (мазки, посевы, соскобы)</t>
  </si>
  <si>
    <t>Взятие материала для культурального исследования отделяемого глаз на аэробные и факультативные анаэробные микроорганизмы</t>
  </si>
  <si>
    <t>Взятие материала для культурального исследования отделяемого носоглотки на аэробные и факультативные анаэробные микроорганизмы</t>
  </si>
  <si>
    <t>3.17.</t>
  </si>
  <si>
    <t>Инстилляция уретры лекарственным препаратом</t>
  </si>
  <si>
    <t>3.18.</t>
  </si>
  <si>
    <t>Двухстаканная проба мочи</t>
  </si>
  <si>
    <t>Электрокоагуляция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аногенетальной области</t>
  </si>
  <si>
    <t>3.20.</t>
  </si>
  <si>
    <t>Механическое удаление одного элемента контагеозного моллюска в аногенитальной области</t>
  </si>
  <si>
    <t>3.21.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</si>
  <si>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аногенитальной области</t>
  </si>
  <si>
    <t>3.22.</t>
  </si>
  <si>
    <t>Химическая деструкция одного элемента доброкачественного новоблразования кожи (бородавка, папиллома, кондилома, кератома, кератопапиллома) или контагиозного моллюска в аногенитальной области</t>
  </si>
  <si>
    <t>Взятие материала на Neisseria gonorrhoeae и Trichomonas vaginalis из уретры и цервикального канала</t>
  </si>
  <si>
    <t>Взятие материала на "ключевые" клетки из заднего свода влагалища для микроскопического исследования</t>
  </si>
  <si>
    <t>4.3.</t>
  </si>
  <si>
    <t>Взятие материала на бактериальный вагиноз из уретры и цервикального канала для исследования методом РНИФ</t>
  </si>
  <si>
    <t>Взятие материала на Chlamidia trachomatis из уретры и цервикального канала для исследования методом РИФ</t>
  </si>
  <si>
    <t>Взятие материала на Ureaplasma urealiticum из уретры и цервикального канала для исследования методом РИФ</t>
  </si>
  <si>
    <t>4.6.</t>
  </si>
  <si>
    <t>Взятие материала на Micoplasma hominis из уретры и цервикального канала для исследования методом РИФ</t>
  </si>
  <si>
    <t>4.7.</t>
  </si>
  <si>
    <t>Взятие материала на герпетические инфекции из уретры и цервикального канала для исследования методом РИФ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</si>
  <si>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</si>
  <si>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</si>
  <si>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</si>
  <si>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</si>
  <si>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</si>
  <si>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</si>
  <si>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4.11.</t>
  </si>
  <si>
    <t>Взятие материала из уретры и цервикального канала для идентификации урогенитальных микоплазм, определения обсемененности образца и чувствительности к антибиотикам с применением тест-систем</t>
  </si>
  <si>
    <t>4.12.</t>
  </si>
  <si>
    <t>Взятие материала на Candida albicans из уретры и цервикального канала для исследования бактериологическим методом</t>
  </si>
  <si>
    <t>4.13.</t>
  </si>
  <si>
    <t>Взятие материала на Сhlamidia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</si>
  <si>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4.14.</t>
  </si>
  <si>
    <t>Взятие материала на дрожжевые грибы со слизистых гениталий для исследования микроскопическим методом</t>
  </si>
  <si>
    <t>4.15.</t>
  </si>
  <si>
    <t>Взятие материала на дрожжевые грибы со слизистых гениталий для исследования бактериологическим методом</t>
  </si>
  <si>
    <t>4.16.</t>
  </si>
  <si>
    <t>4.17.</t>
  </si>
  <si>
    <t>4.18.</t>
  </si>
  <si>
    <t>4.19.</t>
  </si>
  <si>
    <t>Взятие материала из заднего свода влагалища для исследования отделяемого половых органов на микрофлору и степень чистоты влагалища</t>
  </si>
  <si>
    <t>4.20.</t>
  </si>
  <si>
    <t>Взятие материала из заднего свода влагалища для исследования отделяемого половых органов на Trichomonas vaginalis в нативном препарате</t>
  </si>
  <si>
    <t>4.21.</t>
  </si>
  <si>
    <t>4.22.</t>
  </si>
  <si>
    <t>Лечебная ванночка с лекарственным препаратом</t>
  </si>
  <si>
    <t>4.23.</t>
  </si>
  <si>
    <t>Смазывание лекарственным препаратом уретры, цервикального канала и наружного отверстия прямой кишки</t>
  </si>
  <si>
    <t>4.24.</t>
  </si>
  <si>
    <t>Введение влагалищного тампона с лекарственным препаратом</t>
  </si>
  <si>
    <t>4.25.</t>
  </si>
  <si>
    <t>Электрокоагуляция одного элемента доброкачественного новообразования кожи (бородавка, папиллома, кондилома, кератома, кератопапиллома) или контагиозного моллюска с локализацией в аногенетальной области</t>
  </si>
  <si>
    <t>4.26.</t>
  </si>
  <si>
    <t>Механическое удаление одного элемента контагеозного моллюска с локализацией в аногенитальной области</t>
  </si>
  <si>
    <t>4.27.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</si>
  <si>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с локализацией в аногенитальной области</t>
  </si>
  <si>
    <t>4.28.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</si>
  <si>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 с локализацией в аногенитальной области</t>
  </si>
  <si>
    <t>Аппаратное удаление пораженной ногтевой пластинки большого пальца стопы (кисти) при онихомикозе, ониходистрофии</t>
  </si>
  <si>
    <t>Аппаратное удаление одной пораженной ногтевой пластинки стопы (кисти) при онихомикозе, ониходистрофии</t>
  </si>
  <si>
    <t>Аппаратная обработка гиперкератоза кожи стоп (кистей) (1 см2)</t>
  </si>
  <si>
    <t>Механическое удаление пораженных частей ногтевой пластинки пальца стопы (кисти) при онихомикозе</t>
  </si>
  <si>
    <t>Отслойка одного очага гиперкератоза при грибковом поражении кистей и стоп (мазью салициловой)</t>
  </si>
  <si>
    <t>5.6.</t>
  </si>
  <si>
    <t xml:space="preserve">Механическое удаление одного элемента контагиозного моллюска </t>
  </si>
  <si>
    <t>5.7.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</si>
  <si>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</si>
  <si>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</si>
  <si>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</si>
  <si>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</si>
  <si>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</si>
  <si>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t>Эзофагоскопия</t>
  </si>
  <si>
    <t>6.1.2.</t>
  </si>
  <si>
    <t>Эзофагогастроскопия</t>
  </si>
  <si>
    <t>6.1.3.</t>
  </si>
  <si>
    <t>Эзофагогастродуоденоскопия</t>
  </si>
  <si>
    <t>6.1.5.</t>
  </si>
  <si>
    <t>Исследование крови на определение антител к вирусу иммунодефицита человека (ИФА-ВИЧ)</t>
  </si>
  <si>
    <t>Рентгеновская компьютерная томография головного мозга без контрастного усиления</t>
  </si>
  <si>
    <t>Рентгеновская компьютерная томография головного мозга с контрастным усилением</t>
  </si>
  <si>
    <t>Рентгеновская компьютерная томография лицевого черепа без контрастного усиления</t>
  </si>
  <si>
    <t>Рентгеновская компьютерная томография лицевого черепа с контрастным усилением</t>
  </si>
  <si>
    <t>Рентгеновская компьютерная томография шеи без контрастного усиления</t>
  </si>
  <si>
    <t>Рентгеновская компьютерная томография шеи с контрастным усилением</t>
  </si>
  <si>
    <t>3.1.7.1.</t>
  </si>
  <si>
    <t>3.1.7.2.</t>
  </si>
  <si>
    <t>3.1.7.3.</t>
  </si>
  <si>
    <t>3.2.</t>
  </si>
  <si>
    <t>Ультразвуковое исследование органов мочеполовой системы:</t>
  </si>
  <si>
    <t>3.2.1.</t>
  </si>
  <si>
    <t>Почки и надпочечники</t>
  </si>
  <si>
    <t>3.2.1.1.</t>
  </si>
  <si>
    <t>3.2.1.2.</t>
  </si>
  <si>
    <t>3.2.1.3.</t>
  </si>
  <si>
    <t>3.2.2.</t>
  </si>
  <si>
    <t>Мочевой пузырь</t>
  </si>
  <si>
    <t>3.2.2.1.</t>
  </si>
  <si>
    <t>3.2.2.2.</t>
  </si>
  <si>
    <t>3.2.2.3.</t>
  </si>
  <si>
    <t>3.2.3.</t>
  </si>
  <si>
    <t>Мочевой пузырь с определением остаточной мочи</t>
  </si>
  <si>
    <t>3.2.3.1.</t>
  </si>
  <si>
    <t>3.2.3.2.</t>
  </si>
  <si>
    <t>3.2.3.3.</t>
  </si>
  <si>
    <t>3.2.4.</t>
  </si>
  <si>
    <t>Почки, надпочечники и мочевой пузырь</t>
  </si>
  <si>
    <t>3.2.4.1.</t>
  </si>
  <si>
    <t>3.2.4.2.</t>
  </si>
  <si>
    <t>3.2.4.3.</t>
  </si>
  <si>
    <t>3.2.5.</t>
  </si>
  <si>
    <t>Почки, надпочечники и мочевой пузырь с определением остаточной мочи</t>
  </si>
  <si>
    <t>3.2.5.1.</t>
  </si>
  <si>
    <t>3.2.5.2.</t>
  </si>
  <si>
    <t>3.2.5.3.</t>
  </si>
  <si>
    <t>3.2.6.</t>
  </si>
  <si>
    <t>Предстательная железа с мочевым пузырем и определением остаточной мочи (трансабдоминально)</t>
  </si>
  <si>
    <t>3.2.6.1.</t>
  </si>
  <si>
    <t>3.2.6.2.</t>
  </si>
  <si>
    <t>3.2.6.3.</t>
  </si>
  <si>
    <t>3.2.8.</t>
  </si>
  <si>
    <t>Мошонка</t>
  </si>
  <si>
    <t>3.2.8.1.</t>
  </si>
  <si>
    <t>3.2.8.2.</t>
  </si>
  <si>
    <t>3.2.8.3.</t>
  </si>
  <si>
    <t>3.2.9.</t>
  </si>
  <si>
    <t>Половой член</t>
  </si>
  <si>
    <t>3.2.9.1.</t>
  </si>
  <si>
    <t>3.2.9.2.</t>
  </si>
  <si>
    <t>3.2.9.3.</t>
  </si>
  <si>
    <t>3.2.10.</t>
  </si>
  <si>
    <t>3.2.10.1.</t>
  </si>
  <si>
    <t>3.2.10.2.</t>
  </si>
  <si>
    <t>3.2.10.3.</t>
  </si>
  <si>
    <t>Матка и придатки с мочевым пузырем (трансабдоминально)</t>
  </si>
  <si>
    <t>3.2.11.</t>
  </si>
  <si>
    <t>Матка и придатки (трансвагинально)</t>
  </si>
  <si>
    <t>3.2.11.1.</t>
  </si>
  <si>
    <t>3.2.11.2.</t>
  </si>
  <si>
    <t>3.2.11.3.</t>
  </si>
  <si>
    <t>3.2.12.</t>
  </si>
  <si>
    <t>Плод в I триместре до 11 недель беременности</t>
  </si>
  <si>
    <t>3.2.12.1.</t>
  </si>
  <si>
    <t>3.2.12.2.</t>
  </si>
  <si>
    <t>3.2.12.3.</t>
  </si>
  <si>
    <t>3.2.13.</t>
  </si>
  <si>
    <t>3.2.13.1.</t>
  </si>
  <si>
    <t>3.2.13.2.</t>
  </si>
  <si>
    <t>Плод в I триместре с 11 до 14 недель беременности</t>
  </si>
  <si>
    <t>3.2.13.3.</t>
  </si>
  <si>
    <t>3.2.14.</t>
  </si>
  <si>
    <t>Плод в II и III триместрах беременности</t>
  </si>
  <si>
    <t>3.2.14.1.</t>
  </si>
  <si>
    <t>3.2.14.2.</t>
  </si>
  <si>
    <t>3.2.14.3.</t>
  </si>
  <si>
    <t>3.2.15.</t>
  </si>
  <si>
    <t>6.6.</t>
  </si>
  <si>
    <t>Лекарственные ванны, смешанные ванны</t>
  </si>
  <si>
    <t>Функциональное исследование позвоночника</t>
  </si>
  <si>
    <t>1.1.3.17.</t>
  </si>
  <si>
    <t xml:space="preserve">Экскреторная урография </t>
  </si>
  <si>
    <t>1.1.4.5.</t>
  </si>
  <si>
    <t>Метросаль-пингография</t>
  </si>
  <si>
    <t>Ультразвуковое исследование органов брюшной полости:</t>
  </si>
  <si>
    <t>3.1.1.</t>
  </si>
  <si>
    <t>Печень, желчный пузырь без определения функции</t>
  </si>
  <si>
    <t>3.1.1.1.</t>
  </si>
  <si>
    <t>Лечение психических и поведенческих расстройств вследствие употребления психоактивных веществ (анонимно)</t>
  </si>
  <si>
    <t>1.1.1.</t>
  </si>
  <si>
    <t>1.2.1.</t>
  </si>
  <si>
    <t>Лечение синдрома отмены алкоголя (медикаментозное) (анонимно)</t>
  </si>
  <si>
    <t>1.2.5.</t>
  </si>
  <si>
    <t>1.2.8.</t>
  </si>
  <si>
    <t>1.2.10.</t>
  </si>
  <si>
    <t>1.2.11.</t>
  </si>
  <si>
    <t>1.2.12.</t>
  </si>
  <si>
    <t>1.2.14.</t>
  </si>
  <si>
    <t>1.3.1.</t>
  </si>
  <si>
    <t>лечение синдрома отмены наркотических веществ медикаментознымметодом (анонимно)</t>
  </si>
  <si>
    <t xml:space="preserve">Кишечник без заполнения жидкостью </t>
  </si>
  <si>
    <t>3.1.6.2.</t>
  </si>
  <si>
    <t>3.1.6.3.</t>
  </si>
  <si>
    <t>3.1.7.</t>
  </si>
  <si>
    <t>Желудок с заполнением жидкостью</t>
  </si>
  <si>
    <t xml:space="preserve"> </t>
  </si>
  <si>
    <t>Отдельные трудовые операции</t>
  </si>
  <si>
    <t>2.19.</t>
  </si>
  <si>
    <t>2.21.</t>
  </si>
  <si>
    <t>2.23.</t>
  </si>
  <si>
    <t>2.24.</t>
  </si>
  <si>
    <t>2.26.</t>
  </si>
  <si>
    <t>1.28.</t>
  </si>
  <si>
    <t>дарсонвализация</t>
  </si>
  <si>
    <t>1.29.</t>
  </si>
  <si>
    <t>1.30.</t>
  </si>
  <si>
    <t>электромиостимуляция</t>
  </si>
  <si>
    <t>ультрафонофорез</t>
  </si>
  <si>
    <t>1.31.</t>
  </si>
  <si>
    <t>гальванизация</t>
  </si>
  <si>
    <t>1.32.</t>
  </si>
  <si>
    <t>электрофорез</t>
  </si>
  <si>
    <t>2.27.</t>
  </si>
  <si>
    <t>Механическое удаление контагиозного моллюска (1-го элемента)</t>
  </si>
  <si>
    <t>Лечебный массаж предстательной железы (аппаратный)</t>
  </si>
  <si>
    <t>Подводный душ-массаж</t>
  </si>
  <si>
    <t>Массаж головы (лобно-височной и затылочно-теменной области)</t>
  </si>
  <si>
    <t>Массаж шеи</t>
  </si>
  <si>
    <t>Массаж воротниковой зоны (задней поверхности шеи, спина до уровня IV грудного позвонка, передней поверхности грудной клетки до 2-ого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</si>
  <si>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</si>
  <si>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</si>
  <si>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</si>
  <si>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</si>
  <si>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6.3.4.</t>
  </si>
  <si>
    <t>Дыхательный тест на хеликтобактериоз (хелик)</t>
  </si>
  <si>
    <t>1.1.7.35.1.</t>
  </si>
  <si>
    <t>1.1.7.36.1.</t>
  </si>
  <si>
    <t>1.1.7.37.1.</t>
  </si>
  <si>
    <t>1.1.7.38.1.</t>
  </si>
  <si>
    <t xml:space="preserve">Массаж голеностопного сустава (проксимального отдела стопы, области голеностопного сустава и нижней трети голени) </t>
  </si>
  <si>
    <t>1.25.</t>
  </si>
  <si>
    <t>1.26.</t>
  </si>
  <si>
    <t>Рентгенологические исследования</t>
  </si>
  <si>
    <t>Рентгенологические исследования органов грудной полости</t>
  </si>
  <si>
    <t>1.1.1.1.</t>
  </si>
  <si>
    <t>Рентгеноскопия органов грудной полости</t>
  </si>
  <si>
    <t>1.1.1.2.</t>
  </si>
  <si>
    <t>Рентгенография (обзорная) грудной полости:</t>
  </si>
  <si>
    <t>1.1.1.2.1.</t>
  </si>
  <si>
    <t xml:space="preserve">в одной проекции </t>
  </si>
  <si>
    <t>1.1.1.2.2.</t>
  </si>
  <si>
    <t>в двух проекциях</t>
  </si>
  <si>
    <t>1.1.1.4.</t>
  </si>
  <si>
    <t>Рентгенография сердца с контрастированным пищеводом</t>
  </si>
  <si>
    <t>1.1.1.5.</t>
  </si>
  <si>
    <t>Рентгенография гортани (обзорная)</t>
  </si>
  <si>
    <t>1.1.1.7.</t>
  </si>
  <si>
    <t>Флюорграфия профилактическая:</t>
  </si>
  <si>
    <t>1.1.1.7.1.</t>
  </si>
  <si>
    <t>в одной проекции</t>
  </si>
  <si>
    <t>1.1.1.9.</t>
  </si>
  <si>
    <t>Анализ флюорограммы врачом</t>
  </si>
  <si>
    <t>1.1.2.2.</t>
  </si>
  <si>
    <t>Рентгеноскопия (обзорная) брюшной полости</t>
  </si>
  <si>
    <t>1.1.2.3.</t>
  </si>
  <si>
    <t>Рентгенография (обзорная) брюшной полости</t>
  </si>
  <si>
    <t>1.1.2.5.</t>
  </si>
  <si>
    <t>Рентгеноскопия и ренгенография желудка по традиционной методике</t>
  </si>
  <si>
    <t>1.1.2.6.</t>
  </si>
  <si>
    <t>Первичное двойное контрастирование желудка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</si>
  <si>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</si>
  <si>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</si>
  <si>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</si>
  <si>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</si>
  <si>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1.1.3.1.</t>
  </si>
  <si>
    <t>Рентгенография отдела позвоночника:</t>
  </si>
  <si>
    <t>1.1.3.1.1.</t>
  </si>
  <si>
    <t>1.1.3.1.2.</t>
  </si>
  <si>
    <t>1.1.3.2.</t>
  </si>
  <si>
    <t>Рентгенография периферических отделов скелета:</t>
  </si>
  <si>
    <t>1.1.3.2.2.</t>
  </si>
  <si>
    <t xml:space="preserve">в двух проекциях </t>
  </si>
  <si>
    <t>1.1.3.2.1.</t>
  </si>
  <si>
    <t>1.1.3.3.</t>
  </si>
  <si>
    <t>Рентгенография черепа:</t>
  </si>
  <si>
    <t>1.1.3.3.1.</t>
  </si>
  <si>
    <t>1.1.3.3.2.</t>
  </si>
  <si>
    <t>1.1.3.4.</t>
  </si>
  <si>
    <t>Рентгенография придпточных пазух носа</t>
  </si>
  <si>
    <t>1.1.3.5.</t>
  </si>
  <si>
    <t>Рентгенография височно-челюстного сустава</t>
  </si>
  <si>
    <t>1.1.3.6.</t>
  </si>
  <si>
    <t>Процедуры и манипуляции, выполняемые медицинскими сестра по назначению врача-косметолога:</t>
  </si>
  <si>
    <t>1.20.</t>
  </si>
  <si>
    <t>криомассаж кожи лица жидким азотом</t>
  </si>
  <si>
    <t>1.34.</t>
  </si>
  <si>
    <t>ультратонотерапия</t>
  </si>
  <si>
    <t>Манипуляции, выполняемые врачами-косметологами</t>
  </si>
  <si>
    <t>Лечение синдрома зависимости от наркотических веществ (анонимно):</t>
  </si>
  <si>
    <t>противорецидивное, поддерживающее лечение зависимости от наркотических веществ (анонимно)</t>
  </si>
  <si>
    <t>Осмотр врачом-неврологом</t>
  </si>
  <si>
    <t>Проведение процедуры вакцинации ВГВ (в/мышечно)</t>
  </si>
  <si>
    <t>Проведение процедуры вакцинации БЦЖ (подкожно)</t>
  </si>
  <si>
    <t>Проведение процедуры вакцинации БЦЖ-М (подкожно)</t>
  </si>
  <si>
    <t>Проведение процедуры вакцинации АКДС (в/мышечно)</t>
  </si>
  <si>
    <t>Проведение процедуры вакцинации АДС (в/мышечно)</t>
  </si>
  <si>
    <t>Проведение процедуры вакцинации АДС-М (в/мышечно)</t>
  </si>
  <si>
    <t>Проведение процедуры вакцинации АД-М (в/мышечно)</t>
  </si>
  <si>
    <t>Проведение процедуры вакцинации ИПВ (в/мышечно)</t>
  </si>
  <si>
    <t>Проведение процедуры вакцинации ОПВ (капли в рот )</t>
  </si>
  <si>
    <t>Проведение процедуры вакцинации КПК (в/мышечно)</t>
  </si>
  <si>
    <t>Проведение процедуры вакцинации Р. Манту (туберкулинодиагностика, в/кожно)</t>
  </si>
  <si>
    <t>Определение вирусного гепатита С (отрицательно)</t>
  </si>
  <si>
    <t>20.</t>
  </si>
  <si>
    <t>Определение вирусного гепатита С (положительно)</t>
  </si>
  <si>
    <t>21.</t>
  </si>
  <si>
    <t>Определение гормона ТТГ</t>
  </si>
  <si>
    <t>22.</t>
  </si>
  <si>
    <t>Определение гормона Т4</t>
  </si>
  <si>
    <t>23.</t>
  </si>
  <si>
    <t>Определение гормона АТ ТПО</t>
  </si>
  <si>
    <t>24.</t>
  </si>
  <si>
    <t>Определение гормонов (ТТГ, Т4, АТ ТПО)</t>
  </si>
  <si>
    <t>Клиникодиагностические лабораторные исследования</t>
  </si>
  <si>
    <t>Исследование мочи на обнаружение кетоновых тел</t>
  </si>
  <si>
    <t>3.</t>
  </si>
  <si>
    <t>Исследование мочи на обнаружение билирубина</t>
  </si>
  <si>
    <t>Механический аппаратный массаж на массажной кушетке, массажном кресле</t>
  </si>
  <si>
    <t>3.15.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</si>
  <si>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</si>
  <si>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</si>
  <si>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>5.5.</t>
  </si>
  <si>
    <t>Массаж лица (лобной, окодоглазничной, верхнее- и нижнечелюстной области)</t>
  </si>
  <si>
    <t>1.4.</t>
  </si>
  <si>
    <t>1.6.</t>
  </si>
  <si>
    <t>26.</t>
  </si>
  <si>
    <t>27.</t>
  </si>
  <si>
    <t>Определение общих бэта-липопротеинов в сыворотке крови</t>
  </si>
  <si>
    <t>28.</t>
  </si>
  <si>
    <t>29.</t>
  </si>
  <si>
    <t>30.</t>
  </si>
  <si>
    <t>Определение железа в сыворотке крови</t>
  </si>
  <si>
    <t>31.</t>
  </si>
  <si>
    <t>Определение ОЖСС</t>
  </si>
  <si>
    <t>32.</t>
  </si>
  <si>
    <t>Определение общего кальция в сыворотке крови</t>
  </si>
  <si>
    <t>Исследование эякулята человека (спермограмма)</t>
  </si>
  <si>
    <t>Оториноларингология</t>
  </si>
  <si>
    <t>МАНИПУЛЯЦИИ</t>
  </si>
  <si>
    <t>Врачебно-консультативная комиссия</t>
  </si>
  <si>
    <t>Психиатрия</t>
  </si>
  <si>
    <t>первичное добровольное психиатрическое (наркологическое) освидетельствование по желанию пациента врачом-психиатром-наркологом 2 категории</t>
  </si>
  <si>
    <t>первичное добровольное психиатрическое (наркологическое) освидетельствование по желанию пациента врачом-психиатром-наркологом 1 категории</t>
  </si>
  <si>
    <t>первичное добровольное психиатрическое освидетельствование по желанию пациента или родственников врачом-психиатром-наркологом 2 категории на дому</t>
  </si>
  <si>
    <t>первичное добровольное психиатрическое освидетельствование по желанию пациента или родственников врачом-психиатром-наркологом 1 категории на дому</t>
  </si>
  <si>
    <t>Консультация врача-психиатра-нарколога с использованием частичного клинического тестирования 2 категории</t>
  </si>
  <si>
    <t>Консультация врача-психиатра-нарколога с использованием частичного клинического тестирования 1 категории</t>
  </si>
  <si>
    <t>Сеанс индивидуальной психотерапии невротических, психосоматических и поведенческих расстройств</t>
  </si>
  <si>
    <t>Сеанс коллективно-групповой психотерапии невротических, поведенческих и психосоматических расстройств</t>
  </si>
  <si>
    <t>Сеанс индивидуальной психотерапии зависимостей (алкогольной, никотиновой, пищевой, игровой и др)</t>
  </si>
  <si>
    <t>Сеанс коллективно-групповой эмоционально-стрессовой психотерапии зависимостей (алкогольной, никотиновой, пищевой, игровой и др)</t>
  </si>
  <si>
    <t>Обнаружение наркотических средств и психотропных веществ в биологических жидкостей с помощью тестов "Иммуно-хром"</t>
  </si>
  <si>
    <t>Фототерапия в дерматологическом облучателе кабинного типа</t>
  </si>
  <si>
    <t>Процедура № 1</t>
  </si>
  <si>
    <t>Процедура № 2</t>
  </si>
  <si>
    <t>Процедура № 3</t>
  </si>
  <si>
    <t>Процедура № 4</t>
  </si>
  <si>
    <t>Процедура № 5</t>
  </si>
  <si>
    <t>Процедура № 6</t>
  </si>
  <si>
    <t>Процедура № 7</t>
  </si>
  <si>
    <t>Процедура № 8</t>
  </si>
  <si>
    <t>Процедура № 9</t>
  </si>
  <si>
    <t>Процедура № 10</t>
  </si>
  <si>
    <t>Процедура № 11</t>
  </si>
  <si>
    <t>Процедура № 12</t>
  </si>
  <si>
    <t>Процедура № 13</t>
  </si>
  <si>
    <t>Процедура № 14</t>
  </si>
  <si>
    <t>Процедура № 15</t>
  </si>
  <si>
    <t>Пребывание в палате повышенной комфортности № 1 терапевтического отделения № 1 (за 1 койко-день)</t>
  </si>
  <si>
    <t>Пребывание в палате повышенной комфортности № 3 терапевтического отделения № 1 (за 1 койко-день)</t>
  </si>
  <si>
    <t>Пребывание в палате повышенной комфортности № 4 кардиологического отделения (за 1 койко-день на 1 человека)</t>
  </si>
  <si>
    <t>Пребывание в палате повышенной комфортности № 7 терапевтического отделения № 2 (за 1 койко-день на 1 человека)</t>
  </si>
  <si>
    <t>Пребывание в палате повышенной комфортности № 5 патологического отделения (за 1 койко-день на 1 человека)</t>
  </si>
  <si>
    <t>Пребывание в палате повышенной комфортности № 3 акушерского отделения (за 1 койко-день)</t>
  </si>
  <si>
    <t>Пребывание в палате повышенной комфортности № 10 гинекологического отделения (за 1 койко-день)</t>
  </si>
  <si>
    <t>Пребывание в палате повышенной комфортности № 11 гинекологического отделения (за 1 койко-день)</t>
  </si>
  <si>
    <t>Определение креатинина сыворотки по реакции Яффе</t>
  </si>
  <si>
    <t>Определение "ЛПВП"</t>
  </si>
  <si>
    <t>Определение "ЛПНП"</t>
  </si>
  <si>
    <t>Консультация врачей-специалистов на дому (за 1 час)</t>
  </si>
  <si>
    <t>Электро-радиокоагуляция 1 элемента доброкачественного новообразования кожи вирусной этиологии (бородавка, папиллома, контагеоный моллюск, кондилома)</t>
  </si>
  <si>
    <t>Электро-радиокоагуляция доброкачественного новообразования кожи до 0,5 см</t>
  </si>
  <si>
    <t>2.20.</t>
  </si>
  <si>
    <t>Инфильтрационная анестезия</t>
  </si>
  <si>
    <t xml:space="preserve">Забор крови из вены </t>
  </si>
  <si>
    <t>Система S-Monovette для исследования развернутого анализа крови</t>
  </si>
  <si>
    <t>Система S-Monovette для исследования биохимического анализа крови</t>
  </si>
  <si>
    <t>Система S-Monovette для исследования коагулограммы</t>
  </si>
  <si>
    <t>Система S-Monovette для серологических исследований</t>
  </si>
  <si>
    <t>Система S-Monovette для развернутого анализа крови+биохимического анализа крови или серологических исследований (вариант 2 в 1)</t>
  </si>
  <si>
    <t>Система S-Monovette для развернутого анализа крови+биохимического анализа крови+коагулограммы (вариант 3 в 1)</t>
  </si>
  <si>
    <t>Система S-Monovette для развернутого анализа крови+биохимического анализа крови+серологических исследований (вариант 3 в 1)</t>
  </si>
  <si>
    <t>Система S-Monovette для развернутого анализа крови+биохимического анализа крови+коагулограммы+серологических исследований (вариант 4 в 1)</t>
  </si>
  <si>
    <t>Система S-Monovette для биохимического анализа крови+серологических исследований (вариант 2 в 1)</t>
  </si>
  <si>
    <t>Клиникодиагностические лабораторные исследования по ЛСИЗ</t>
  </si>
  <si>
    <t>Манипуляции для лечения и диагностики инфекций, передаваемых половым путем (мужчины)</t>
  </si>
  <si>
    <t>Манипуляции для лечения и диагностики инфекций, передаваемых половым путем (женщины)</t>
  </si>
  <si>
    <t>Манипуляции для лечения и диагностики кожных заболеваний</t>
  </si>
  <si>
    <t>Кабинет для забора крови из вены</t>
  </si>
  <si>
    <t>Определение полового гормона - "эстрадиол"</t>
  </si>
  <si>
    <t>Дудко 7-58-27</t>
  </si>
  <si>
    <t>Проведение процедуры вакцинации против гриппа Гриппол плюс (Россия)</t>
  </si>
  <si>
    <t>5.6.1.</t>
  </si>
  <si>
    <t>1.1.7.39.1.</t>
  </si>
  <si>
    <t xml:space="preserve">Динамическое исследование артериального давления при непрерывной суточой регистрации (суточные мониторирование артериального давления - СМАД) </t>
  </si>
  <si>
    <t>Динамическое исследование артериального давления при непрерывной суточой регистрации (суточные мониторирование артериального давления - СМАД) - стандартное</t>
  </si>
  <si>
    <t>Динамическое исследование артериального давления при непрерывной суточой регистрации (суточные мониторирование артериального давления - СМАД) - стандартное с дополнительными функциями</t>
  </si>
  <si>
    <t>Микоплазма IST для женщин (микоплазма, уреаплазма, чувствительность к антибиоткам)</t>
  </si>
  <si>
    <t>Микоплазма IST для мужчин (микоплазма, уреаплазма, чувствительность к антибиоткам)</t>
  </si>
  <si>
    <t>Проведение процедуры вакцинации против гриппа Гриппол плюс</t>
  </si>
  <si>
    <t>Проведение процедуры вакцинации против гриппа Инфлювак</t>
  </si>
  <si>
    <t>Проведение процедуры вакцинации против гриппа Ваксигрипп</t>
  </si>
  <si>
    <t>Оказание стационарных медицинских услуг в круглосуточном стационаре терапевтического профиля</t>
  </si>
  <si>
    <t>Оказание стационарных медицинских услуг в круглосуточном стационаре хирургического профиля</t>
  </si>
  <si>
    <t>Пребывание в палате повышенной комфортности № 20 кардиологического отделения (за 1 койко-день на 1 человека)</t>
  </si>
  <si>
    <t>Пребывание в палате повышенной комфортности № 7 патологического отделения (за 1 койко-день на 1 человека)</t>
  </si>
  <si>
    <t>И.о. главного врача УЗ "Светлогорской ЦРБ"</t>
  </si>
  <si>
    <t>Хирургическая коррекция растяжек мочки уха</t>
  </si>
  <si>
    <t>Отдельные трудовые операции для биохимических исследований</t>
  </si>
  <si>
    <t>Определение активности аланинаминотрансферазы в сыворотке крови кинетическим методом на автоматическом анализаторе AU-480 Becman Coulter</t>
  </si>
  <si>
    <t>Определение активности аспартатаминотрансферазы в сыворотке крови кинетическим методом на автоматическом анализаторе AU-480 Becman Coulter</t>
  </si>
  <si>
    <t>Определение активности альфа-амилазы в сыворотке крови кинетическим методом на автоматическом анализаторе AU-480 Becman Coulter</t>
  </si>
  <si>
    <t>Определение билирубина (общего) и его фракций в сыворотке крови на автоматическом анализаторе AU-480 Becman Coulter</t>
  </si>
  <si>
    <t>Определение билирубина (прямого) и его фракций в сыворотке крови на автоматическом анализаторе AU-480 Becman Coulter</t>
  </si>
  <si>
    <t>Определение глюкозы в капиллярной крови на автоматическом анализаторе Biosen (экспресс-тест)</t>
  </si>
  <si>
    <t>Определение глюкозы в сыворотке крови на автоматическом анализаторе AU-480 Becman Coulter</t>
  </si>
  <si>
    <t>Определение общего холестерина сыворотки крови на автоматическом анализаторе AU-480 Becman Coulter</t>
  </si>
  <si>
    <t>Исследование липидного спектра (ХС, ТГ, ЛПВП, ЛПНП, ЛПОНП, КА) в сыворотке крови на автоматическом анализаторе AU-480 Becman Coulter</t>
  </si>
  <si>
    <t>Определение триацилглицеринов в сыворотке крови на автоматическом анализаторе AU-480 Becman Coulter</t>
  </si>
  <si>
    <t>Определение мочевины сыворотки крови кинетическим методом AU-480 Becman Coulter</t>
  </si>
  <si>
    <t>Проведение процедуры вакцинации Эупента (в/мышечно)</t>
  </si>
  <si>
    <t>Проведение процедуры вакцинации ХИБ (в/мышечно)</t>
  </si>
  <si>
    <t>Обнаружение скрытой крови в кале (гемакультест)</t>
  </si>
  <si>
    <t>Развернутый анализ капиллярной крови на автоматическом анализаторе с дифференцировкой лейкоцитарной формулы на автоматической анализаторе Sismex XS 500i</t>
  </si>
  <si>
    <t>Развернутый анализ капиллярной крови на автоматическом анализаторе без дифференцировки лейкоцитарной формулы на автоматической анализаторе Sismex XS 300</t>
  </si>
  <si>
    <t>Развернутый анализ венозной крови на автоматическом анализаторе с дифференцировкой лейкоцитарной формулы на автоматической анализаторе Sismex XS 500i</t>
  </si>
  <si>
    <t>Развернутый анализ венозной крови на автоматическом анализаторе без дифференцировки лейкоцитарной формулы на автоматической анализаторе Sismex XS 300</t>
  </si>
  <si>
    <t>Определение гликозилированного гемоглобина в капиллярной крови на автоматическом анализаторе AU-480 Becman Coulter</t>
  </si>
  <si>
    <t>_________ В.В. Ширяев</t>
  </si>
  <si>
    <t>30 декабря 2019 года</t>
  </si>
  <si>
    <t>вводится с 01 января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</si>
</sst>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u val="single"/>
      <sz val="20"/>
      <name val="Times New Roman"/>
      <family val="1"/>
    </font>
    <font>
      <sz val="18"/>
      <color indexed="10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3"/>
  <sheetViews>
    <sheetView tabSelected="1" view="pageBreakPreview" zoomScale="60" zoomScalePageLayoutView="0" workbookViewId="0" topLeftCell="A1">
      <selection activeCell="B796" sqref="B796"/>
    </sheetView>
  </sheetViews>
  <sheetFormatPr defaultColWidth="9.00390625" defaultRowHeight="12.75"/>
  <cols>
    <col min="1" max="1" width="15.625" style="39" customWidth="1"/>
    <col min="2" max="2" width="100.75390625" style="16" customWidth="1"/>
    <col min="3" max="3" width="25.625" style="18" customWidth="1"/>
    <col min="4" max="4" width="25.625" style="40" customWidth="1"/>
    <col min="5" max="5" width="25.625" style="18" customWidth="1"/>
    <col min="6" max="16384" width="9.125" style="17" customWidth="1"/>
  </cols>
  <sheetData>
    <row r="1" spans="1:5" ht="26.25">
      <c r="A1" s="10"/>
      <c r="C1" s="60" t="s">
        <v>107</v>
      </c>
      <c r="D1" s="60"/>
      <c r="E1" s="60"/>
    </row>
    <row r="2" spans="1:5" ht="26.25">
      <c r="A2" s="10"/>
      <c r="C2" s="60" t="s">
        <v>1210</v>
      </c>
      <c r="D2" s="60"/>
      <c r="E2" s="60"/>
    </row>
    <row r="3" spans="1:5" ht="26.25">
      <c r="A3" s="10"/>
      <c r="C3" s="60" t="s">
        <v>1232</v>
      </c>
      <c r="D3" s="60"/>
      <c r="E3" s="60"/>
    </row>
    <row r="4" spans="1:5" ht="26.25">
      <c r="A4" s="10"/>
      <c r="C4" s="60" t="s">
        <v>1233</v>
      </c>
      <c r="D4" s="60"/>
      <c r="E4" s="60"/>
    </row>
    <row r="5" spans="1:5" ht="23.25">
      <c r="A5" s="10"/>
      <c r="C5" s="11"/>
      <c r="D5" s="18"/>
      <c r="E5" s="11"/>
    </row>
    <row r="6" spans="1:5" ht="23.25">
      <c r="A6" s="10"/>
      <c r="C6" s="11"/>
      <c r="D6" s="18"/>
      <c r="E6" s="11"/>
    </row>
    <row r="7" spans="1:5" ht="26.25">
      <c r="A7" s="60" t="s">
        <v>32</v>
      </c>
      <c r="B7" s="60"/>
      <c r="C7" s="60"/>
      <c r="D7" s="60"/>
      <c r="E7" s="60"/>
    </row>
    <row r="8" spans="1:5" ht="26.25">
      <c r="A8" s="60" t="s">
        <v>113</v>
      </c>
      <c r="B8" s="60"/>
      <c r="C8" s="60"/>
      <c r="D8" s="60"/>
      <c r="E8" s="60"/>
    </row>
    <row r="9" spans="1:5" ht="58.5" customHeight="1">
      <c r="A9" s="60" t="s">
        <v>189</v>
      </c>
      <c r="B9" s="60"/>
      <c r="C9" s="60"/>
      <c r="D9" s="60"/>
      <c r="E9" s="60"/>
    </row>
    <row r="10" spans="1:5" ht="26.25">
      <c r="A10" s="60" t="s">
        <v>1234</v>
      </c>
      <c r="B10" s="60"/>
      <c r="C10" s="60"/>
      <c r="D10" s="60"/>
      <c r="E10" s="60"/>
    </row>
    <row r="11" spans="1:5" ht="18.75">
      <c r="A11" s="61"/>
      <c r="B11" s="61"/>
      <c r="C11" s="61"/>
      <c r="D11" s="61"/>
      <c r="E11" s="61"/>
    </row>
    <row r="12" spans="1:5" ht="104.25" customHeight="1">
      <c r="A12" s="19"/>
      <c r="B12" s="12" t="s">
        <v>108</v>
      </c>
      <c r="C12" s="9" t="s">
        <v>31</v>
      </c>
      <c r="D12" s="9" t="s">
        <v>114</v>
      </c>
      <c r="E12" s="9" t="s">
        <v>115</v>
      </c>
    </row>
    <row r="13" spans="1:5" ht="20.25">
      <c r="A13" s="19">
        <v>1</v>
      </c>
      <c r="B13" s="12">
        <v>2</v>
      </c>
      <c r="C13" s="20">
        <v>3</v>
      </c>
      <c r="D13" s="20">
        <v>4</v>
      </c>
      <c r="E13" s="20">
        <v>5</v>
      </c>
    </row>
    <row r="14" spans="1:5" ht="26.25">
      <c r="A14" s="49" t="s">
        <v>117</v>
      </c>
      <c r="B14" s="49"/>
      <c r="C14" s="49"/>
      <c r="D14" s="49"/>
      <c r="E14" s="49"/>
    </row>
    <row r="15" spans="1:5" ht="23.25">
      <c r="A15" s="21" t="s">
        <v>116</v>
      </c>
      <c r="B15" s="2" t="s">
        <v>118</v>
      </c>
      <c r="C15" s="5"/>
      <c r="D15" s="5"/>
      <c r="E15" s="5"/>
    </row>
    <row r="16" spans="1:5" ht="23.25">
      <c r="A16" s="21"/>
      <c r="B16" s="2" t="s">
        <v>119</v>
      </c>
      <c r="C16" s="5">
        <f>7.03+(7.03*5/100)</f>
        <v>7.3815</v>
      </c>
      <c r="D16" s="5" t="s">
        <v>104</v>
      </c>
      <c r="E16" s="5">
        <f>C16</f>
        <v>7.3815</v>
      </c>
    </row>
    <row r="17" spans="1:5" ht="23.25">
      <c r="A17" s="21"/>
      <c r="B17" s="2" t="s">
        <v>120</v>
      </c>
      <c r="C17" s="5">
        <f>8.02+(8.02*5/100)</f>
        <v>8.421</v>
      </c>
      <c r="D17" s="5" t="s">
        <v>104</v>
      </c>
      <c r="E17" s="5">
        <f>C17</f>
        <v>8.421</v>
      </c>
    </row>
    <row r="18" spans="1:5" ht="23.25">
      <c r="A18" s="21" t="s">
        <v>121</v>
      </c>
      <c r="B18" s="2" t="s">
        <v>122</v>
      </c>
      <c r="C18" s="5"/>
      <c r="D18" s="5" t="s">
        <v>104</v>
      </c>
      <c r="E18" s="5"/>
    </row>
    <row r="19" spans="1:5" ht="23.25">
      <c r="A19" s="21"/>
      <c r="B19" s="2" t="s">
        <v>119</v>
      </c>
      <c r="C19" s="5">
        <f>7.28+(7.28*5/100)</f>
        <v>7.644</v>
      </c>
      <c r="D19" s="5" t="s">
        <v>104</v>
      </c>
      <c r="E19" s="5">
        <f>C19</f>
        <v>7.644</v>
      </c>
    </row>
    <row r="20" spans="1:5" ht="23.25">
      <c r="A20" s="21"/>
      <c r="B20" s="2" t="s">
        <v>120</v>
      </c>
      <c r="C20" s="5">
        <f>8.29+(8.29*5/100)</f>
        <v>8.7045</v>
      </c>
      <c r="D20" s="5" t="s">
        <v>104</v>
      </c>
      <c r="E20" s="5">
        <f>C20</f>
        <v>8.7045</v>
      </c>
    </row>
    <row r="21" spans="1:5" ht="23.25">
      <c r="A21" s="21" t="s">
        <v>123</v>
      </c>
      <c r="B21" s="2" t="s">
        <v>124</v>
      </c>
      <c r="C21" s="5"/>
      <c r="D21" s="5" t="s">
        <v>104</v>
      </c>
      <c r="E21" s="5"/>
    </row>
    <row r="22" spans="1:5" ht="23.25">
      <c r="A22" s="21"/>
      <c r="B22" s="2" t="s">
        <v>119</v>
      </c>
      <c r="C22" s="5">
        <f>7.65+(7.65*5/100)</f>
        <v>8.0325</v>
      </c>
      <c r="D22" s="5" t="s">
        <v>104</v>
      </c>
      <c r="E22" s="5">
        <f>C22</f>
        <v>8.0325</v>
      </c>
    </row>
    <row r="23" spans="1:5" ht="23.25">
      <c r="A23" s="21"/>
      <c r="B23" s="2" t="s">
        <v>120</v>
      </c>
      <c r="C23" s="5">
        <f>8.64+(8.64*5/100)</f>
        <v>9.072000000000001</v>
      </c>
      <c r="D23" s="5" t="s">
        <v>104</v>
      </c>
      <c r="E23" s="5">
        <f>C23</f>
        <v>9.072000000000001</v>
      </c>
    </row>
    <row r="24" spans="1:5" ht="26.25">
      <c r="A24" s="49" t="s">
        <v>1173</v>
      </c>
      <c r="B24" s="49"/>
      <c r="C24" s="49"/>
      <c r="D24" s="49"/>
      <c r="E24" s="49"/>
    </row>
    <row r="25" spans="1:5" ht="23.25">
      <c r="A25" s="21" t="s">
        <v>127</v>
      </c>
      <c r="B25" s="2" t="s">
        <v>118</v>
      </c>
      <c r="C25" s="5"/>
      <c r="D25" s="5"/>
      <c r="E25" s="5"/>
    </row>
    <row r="26" spans="1:5" ht="23.25">
      <c r="A26" s="21"/>
      <c r="B26" s="2" t="s">
        <v>119</v>
      </c>
      <c r="C26" s="5">
        <f>9.91+(9.91*5/100)</f>
        <v>10.4055</v>
      </c>
      <c r="D26" s="5" t="s">
        <v>104</v>
      </c>
      <c r="E26" s="5">
        <f>C26</f>
        <v>10.4055</v>
      </c>
    </row>
    <row r="27" spans="1:5" ht="23.25">
      <c r="A27" s="21"/>
      <c r="B27" s="2" t="s">
        <v>120</v>
      </c>
      <c r="C27" s="5">
        <f>11.25+(11.25*5/100)</f>
        <v>11.8125</v>
      </c>
      <c r="D27" s="5" t="s">
        <v>104</v>
      </c>
      <c r="E27" s="5">
        <f>C27</f>
        <v>11.8125</v>
      </c>
    </row>
    <row r="28" spans="1:5" ht="23.25">
      <c r="A28" s="21" t="s">
        <v>129</v>
      </c>
      <c r="B28" s="2" t="s">
        <v>122</v>
      </c>
      <c r="C28" s="5"/>
      <c r="D28" s="5" t="s">
        <v>104</v>
      </c>
      <c r="E28" s="5"/>
    </row>
    <row r="29" spans="1:5" ht="23.25">
      <c r="A29" s="21"/>
      <c r="B29" s="2" t="s">
        <v>119</v>
      </c>
      <c r="C29" s="5">
        <f>10.53+(10.53*5/100)</f>
        <v>11.0565</v>
      </c>
      <c r="D29" s="5" t="s">
        <v>104</v>
      </c>
      <c r="E29" s="5">
        <f>C29</f>
        <v>11.0565</v>
      </c>
    </row>
    <row r="30" spans="1:5" ht="23.25">
      <c r="A30" s="21"/>
      <c r="B30" s="2" t="s">
        <v>120</v>
      </c>
      <c r="C30" s="5">
        <f>11.39+(11.39*5/100)</f>
        <v>11.9595</v>
      </c>
      <c r="D30" s="5" t="s">
        <v>104</v>
      </c>
      <c r="E30" s="5">
        <f>C30</f>
        <v>11.9595</v>
      </c>
    </row>
    <row r="31" spans="1:5" ht="23.25">
      <c r="A31" s="21" t="s">
        <v>217</v>
      </c>
      <c r="B31" s="2" t="s">
        <v>124</v>
      </c>
      <c r="C31" s="5"/>
      <c r="D31" s="5" t="s">
        <v>104</v>
      </c>
      <c r="E31" s="5"/>
    </row>
    <row r="32" spans="1:5" ht="23.25">
      <c r="A32" s="21"/>
      <c r="B32" s="2" t="s">
        <v>119</v>
      </c>
      <c r="C32" s="5">
        <f>10.59+(10.59*5/100)</f>
        <v>11.1195</v>
      </c>
      <c r="D32" s="5" t="s">
        <v>104</v>
      </c>
      <c r="E32" s="5">
        <f>C32</f>
        <v>11.1195</v>
      </c>
    </row>
    <row r="33" spans="1:5" ht="23.25">
      <c r="A33" s="21"/>
      <c r="B33" s="2" t="s">
        <v>120</v>
      </c>
      <c r="C33" s="5">
        <f>11.59+(11.59*5/100)</f>
        <v>12.1695</v>
      </c>
      <c r="D33" s="5" t="s">
        <v>104</v>
      </c>
      <c r="E33" s="5">
        <f>C33</f>
        <v>12.1695</v>
      </c>
    </row>
    <row r="34" spans="1:5" ht="26.25">
      <c r="A34" s="59" t="s">
        <v>694</v>
      </c>
      <c r="B34" s="59"/>
      <c r="C34" s="59"/>
      <c r="D34" s="59"/>
      <c r="E34" s="59"/>
    </row>
    <row r="35" spans="1:5" ht="23.25">
      <c r="A35" s="22" t="s">
        <v>121</v>
      </c>
      <c r="B35" s="4" t="s">
        <v>695</v>
      </c>
      <c r="C35" s="7">
        <f>6.4+(6.4*5/100)</f>
        <v>6.720000000000001</v>
      </c>
      <c r="D35" s="7" t="s">
        <v>104</v>
      </c>
      <c r="E35" s="7">
        <f>C35</f>
        <v>6.720000000000001</v>
      </c>
    </row>
    <row r="36" spans="1:5" ht="23.25">
      <c r="A36" s="22" t="s">
        <v>1118</v>
      </c>
      <c r="B36" s="4" t="s">
        <v>696</v>
      </c>
      <c r="C36" s="7">
        <f>5.88+(5.88*5/100)</f>
        <v>6.1739999999999995</v>
      </c>
      <c r="D36" s="7" t="s">
        <v>104</v>
      </c>
      <c r="E36" s="7">
        <f aca="true" t="shared" si="0" ref="E36:E54">C36</f>
        <v>6.1739999999999995</v>
      </c>
    </row>
    <row r="37" spans="1:5" ht="23.25">
      <c r="A37" s="22" t="s">
        <v>552</v>
      </c>
      <c r="B37" s="4" t="s">
        <v>697</v>
      </c>
      <c r="C37" s="7">
        <f>5.61+(5.61*5/100)</f>
        <v>5.8905</v>
      </c>
      <c r="D37" s="7" t="s">
        <v>104</v>
      </c>
      <c r="E37" s="7">
        <f t="shared" si="0"/>
        <v>5.8905</v>
      </c>
    </row>
    <row r="38" spans="1:5" ht="23.25">
      <c r="A38" s="23" t="s">
        <v>351</v>
      </c>
      <c r="B38" s="4" t="s">
        <v>698</v>
      </c>
      <c r="C38" s="7">
        <f>5.77+(5.77*5/100)</f>
        <v>6.0584999999999996</v>
      </c>
      <c r="D38" s="7" t="s">
        <v>104</v>
      </c>
      <c r="E38" s="7">
        <f t="shared" si="0"/>
        <v>6.0584999999999996</v>
      </c>
    </row>
    <row r="39" spans="1:5" ht="23.25">
      <c r="A39" s="22" t="s">
        <v>352</v>
      </c>
      <c r="B39" s="4" t="s">
        <v>699</v>
      </c>
      <c r="C39" s="7">
        <f>6.44+(6.44*5/100)</f>
        <v>6.7620000000000005</v>
      </c>
      <c r="D39" s="7" t="s">
        <v>104</v>
      </c>
      <c r="E39" s="7">
        <f t="shared" si="0"/>
        <v>6.7620000000000005</v>
      </c>
    </row>
    <row r="40" spans="1:5" ht="23.25">
      <c r="A40" s="22" t="s">
        <v>354</v>
      </c>
      <c r="B40" s="4" t="s">
        <v>700</v>
      </c>
      <c r="C40" s="7">
        <f>6.7+(6.7*5/100)</f>
        <v>7.035</v>
      </c>
      <c r="D40" s="7" t="s">
        <v>104</v>
      </c>
      <c r="E40" s="7">
        <f t="shared" si="0"/>
        <v>7.035</v>
      </c>
    </row>
    <row r="41" spans="1:5" ht="23.25">
      <c r="A41" s="22" t="s">
        <v>355</v>
      </c>
      <c r="B41" s="4" t="s">
        <v>701</v>
      </c>
      <c r="C41" s="7">
        <f>5.7+(5.7*5/100)</f>
        <v>5.985</v>
      </c>
      <c r="D41" s="7" t="s">
        <v>104</v>
      </c>
      <c r="E41" s="7">
        <f t="shared" si="0"/>
        <v>5.985</v>
      </c>
    </row>
    <row r="42" spans="1:5" ht="23.25">
      <c r="A42" s="22" t="s">
        <v>357</v>
      </c>
      <c r="B42" s="4" t="s">
        <v>702</v>
      </c>
      <c r="C42" s="7">
        <f>5.68+(5.68*5/100)</f>
        <v>5.9639999999999995</v>
      </c>
      <c r="D42" s="7" t="s">
        <v>104</v>
      </c>
      <c r="E42" s="7">
        <f t="shared" si="0"/>
        <v>5.9639999999999995</v>
      </c>
    </row>
    <row r="43" spans="1:5" ht="23.25">
      <c r="A43" s="22" t="s">
        <v>358</v>
      </c>
      <c r="B43" s="4" t="s">
        <v>703</v>
      </c>
      <c r="C43" s="7">
        <f>7.14+(7.14*5/100)</f>
        <v>7.497</v>
      </c>
      <c r="D43" s="7" t="s">
        <v>104</v>
      </c>
      <c r="E43" s="7">
        <f t="shared" si="0"/>
        <v>7.497</v>
      </c>
    </row>
    <row r="44" spans="1:5" ht="23.25">
      <c r="A44" s="22" t="s">
        <v>359</v>
      </c>
      <c r="B44" s="4" t="s">
        <v>704</v>
      </c>
      <c r="C44" s="7">
        <f>5.55+(5.55*5/100)</f>
        <v>5.8275</v>
      </c>
      <c r="D44" s="7" t="s">
        <v>104</v>
      </c>
      <c r="E44" s="7">
        <f t="shared" si="0"/>
        <v>5.8275</v>
      </c>
    </row>
    <row r="45" spans="1:5" ht="23.25">
      <c r="A45" s="22" t="s">
        <v>129</v>
      </c>
      <c r="B45" s="4" t="s">
        <v>705</v>
      </c>
      <c r="C45" s="7">
        <f>3.84+(3.84*5/100)</f>
        <v>4.032</v>
      </c>
      <c r="D45" s="7" t="s">
        <v>104</v>
      </c>
      <c r="E45" s="7">
        <f t="shared" si="0"/>
        <v>4.032</v>
      </c>
    </row>
    <row r="46" spans="1:5" ht="23.25">
      <c r="A46" s="22" t="s">
        <v>269</v>
      </c>
      <c r="B46" s="4" t="s">
        <v>706</v>
      </c>
      <c r="C46" s="7">
        <f>3.53+(3.53*5/100)</f>
        <v>3.7064999999999997</v>
      </c>
      <c r="D46" s="7" t="s">
        <v>104</v>
      </c>
      <c r="E46" s="7">
        <f t="shared" si="0"/>
        <v>3.7064999999999997</v>
      </c>
    </row>
    <row r="47" spans="1:5" ht="23.25">
      <c r="A47" s="22" t="s">
        <v>443</v>
      </c>
      <c r="B47" s="4" t="s">
        <v>707</v>
      </c>
      <c r="C47" s="7">
        <f>3.37+(3.37*5/100)</f>
        <v>3.5385</v>
      </c>
      <c r="D47" s="7" t="s">
        <v>104</v>
      </c>
      <c r="E47" s="7">
        <f t="shared" si="0"/>
        <v>3.5385</v>
      </c>
    </row>
    <row r="48" spans="1:5" ht="23.25">
      <c r="A48" s="22" t="s">
        <v>446</v>
      </c>
      <c r="B48" s="4" t="s">
        <v>708</v>
      </c>
      <c r="C48" s="7">
        <f>3.46+(3.46*5/100)</f>
        <v>3.633</v>
      </c>
      <c r="D48" s="7" t="s">
        <v>104</v>
      </c>
      <c r="E48" s="7">
        <f t="shared" si="0"/>
        <v>3.633</v>
      </c>
    </row>
    <row r="49" spans="1:5" ht="23.25">
      <c r="A49" s="22" t="s">
        <v>447</v>
      </c>
      <c r="B49" s="4" t="s">
        <v>709</v>
      </c>
      <c r="C49" s="7">
        <f>3.72+(3.27*5/100)</f>
        <v>3.8835</v>
      </c>
      <c r="D49" s="7" t="s">
        <v>104</v>
      </c>
      <c r="E49" s="7">
        <f t="shared" si="0"/>
        <v>3.8835</v>
      </c>
    </row>
    <row r="50" spans="1:5" ht="23.25">
      <c r="A50" s="22" t="s">
        <v>444</v>
      </c>
      <c r="B50" s="4" t="s">
        <v>710</v>
      </c>
      <c r="C50" s="7">
        <f>4.02+(4.02*5/100)</f>
        <v>4.220999999999999</v>
      </c>
      <c r="D50" s="7" t="s">
        <v>104</v>
      </c>
      <c r="E50" s="7">
        <f t="shared" si="0"/>
        <v>4.220999999999999</v>
      </c>
    </row>
    <row r="51" spans="1:5" ht="23.25">
      <c r="A51" s="22" t="s">
        <v>468</v>
      </c>
      <c r="B51" s="4" t="s">
        <v>711</v>
      </c>
      <c r="C51" s="7">
        <f>3.42+(3.42*5/100)</f>
        <v>3.5909999999999997</v>
      </c>
      <c r="D51" s="7" t="s">
        <v>104</v>
      </c>
      <c r="E51" s="7">
        <f t="shared" si="0"/>
        <v>3.5909999999999997</v>
      </c>
    </row>
    <row r="52" spans="1:5" ht="23.25">
      <c r="A52" s="22" t="s">
        <v>472</v>
      </c>
      <c r="B52" s="4" t="s">
        <v>712</v>
      </c>
      <c r="C52" s="7">
        <f>3.41+(3.41*5/100)</f>
        <v>3.5805000000000002</v>
      </c>
      <c r="D52" s="7" t="s">
        <v>104</v>
      </c>
      <c r="E52" s="7">
        <f t="shared" si="0"/>
        <v>3.5805000000000002</v>
      </c>
    </row>
    <row r="53" spans="1:5" ht="23.25">
      <c r="A53" s="22" t="s">
        <v>474</v>
      </c>
      <c r="B53" s="4" t="s">
        <v>713</v>
      </c>
      <c r="C53" s="7">
        <f>4.29+(4.29*5/100)</f>
        <v>4.5045</v>
      </c>
      <c r="D53" s="7" t="s">
        <v>104</v>
      </c>
      <c r="E53" s="7">
        <f t="shared" si="0"/>
        <v>4.5045</v>
      </c>
    </row>
    <row r="54" spans="1:5" ht="23.25">
      <c r="A54" s="22" t="s">
        <v>476</v>
      </c>
      <c r="B54" s="4" t="s">
        <v>714</v>
      </c>
      <c r="C54" s="7">
        <f>3.33+(3.33*5/100)</f>
        <v>3.4965</v>
      </c>
      <c r="D54" s="7" t="s">
        <v>104</v>
      </c>
      <c r="E54" s="7">
        <f t="shared" si="0"/>
        <v>3.4965</v>
      </c>
    </row>
    <row r="55" spans="1:5" s="24" customFormat="1" ht="26.25">
      <c r="A55" s="49" t="s">
        <v>125</v>
      </c>
      <c r="B55" s="49"/>
      <c r="C55" s="49"/>
      <c r="D55" s="49"/>
      <c r="E55" s="49"/>
    </row>
    <row r="56" spans="1:5" s="27" customFormat="1" ht="23.25">
      <c r="A56" s="25"/>
      <c r="B56" s="2" t="s">
        <v>612</v>
      </c>
      <c r="C56" s="26">
        <f>7.57+(7.57*5/100)</f>
        <v>7.9485</v>
      </c>
      <c r="D56" s="26" t="s">
        <v>104</v>
      </c>
      <c r="E56" s="26">
        <f>C56</f>
        <v>7.9485</v>
      </c>
    </row>
    <row r="57" spans="1:5" s="27" customFormat="1" ht="23.25">
      <c r="A57" s="25"/>
      <c r="B57" s="2" t="s">
        <v>613</v>
      </c>
      <c r="C57" s="26">
        <f>5.05+(5.05*5/100)</f>
        <v>5.3025</v>
      </c>
      <c r="D57" s="26" t="s">
        <v>104</v>
      </c>
      <c r="E57" s="26">
        <f>C57</f>
        <v>5.3025</v>
      </c>
    </row>
    <row r="58" spans="1:5" s="27" customFormat="1" ht="23.25">
      <c r="A58" s="21"/>
      <c r="B58" s="2" t="s">
        <v>126</v>
      </c>
      <c r="C58" s="5"/>
      <c r="D58" s="6"/>
      <c r="E58" s="5"/>
    </row>
    <row r="59" spans="1:5" s="27" customFormat="1" ht="23.25">
      <c r="A59" s="21" t="s">
        <v>127</v>
      </c>
      <c r="B59" s="2" t="s">
        <v>128</v>
      </c>
      <c r="C59" s="5">
        <f>11.29+(11.29*5/100)</f>
        <v>11.8545</v>
      </c>
      <c r="D59" s="28" t="s">
        <v>104</v>
      </c>
      <c r="E59" s="5">
        <f>C59</f>
        <v>11.8545</v>
      </c>
    </row>
    <row r="60" spans="1:5" s="27" customFormat="1" ht="23.25">
      <c r="A60" s="21" t="s">
        <v>129</v>
      </c>
      <c r="B60" s="2" t="s">
        <v>130</v>
      </c>
      <c r="C60" s="5">
        <f>4.84+(4.84*5/100)</f>
        <v>5.082</v>
      </c>
      <c r="D60" s="28" t="s">
        <v>104</v>
      </c>
      <c r="E60" s="5">
        <f>C60</f>
        <v>5.082</v>
      </c>
    </row>
    <row r="61" spans="1:5" s="27" customFormat="1" ht="23.25">
      <c r="A61" s="21"/>
      <c r="B61" s="2" t="s">
        <v>375</v>
      </c>
      <c r="C61" s="5"/>
      <c r="D61" s="5"/>
      <c r="E61" s="5"/>
    </row>
    <row r="62" spans="1:5" s="27" customFormat="1" ht="23.25">
      <c r="A62" s="21" t="s">
        <v>131</v>
      </c>
      <c r="B62" s="2" t="s">
        <v>132</v>
      </c>
      <c r="C62" s="5">
        <f>5.05+(5.05*5/100)</f>
        <v>5.3025</v>
      </c>
      <c r="D62" s="28" t="s">
        <v>104</v>
      </c>
      <c r="E62" s="5">
        <f aca="true" t="shared" si="1" ref="E62:E69">C62</f>
        <v>5.3025</v>
      </c>
    </row>
    <row r="63" spans="1:5" s="27" customFormat="1" ht="46.5">
      <c r="A63" s="21" t="s">
        <v>133</v>
      </c>
      <c r="B63" s="2" t="s">
        <v>134</v>
      </c>
      <c r="C63" s="5">
        <f>2.52+(2.52*5/100)</f>
        <v>2.646</v>
      </c>
      <c r="D63" s="28" t="s">
        <v>104</v>
      </c>
      <c r="E63" s="5">
        <f t="shared" si="1"/>
        <v>2.646</v>
      </c>
    </row>
    <row r="64" spans="1:5" s="27" customFormat="1" ht="23.25">
      <c r="A64" s="21" t="s">
        <v>135</v>
      </c>
      <c r="B64" s="2" t="s">
        <v>136</v>
      </c>
      <c r="C64" s="5">
        <f>3.79+(3.79*5/100)</f>
        <v>3.9795</v>
      </c>
      <c r="D64" s="28" t="s">
        <v>104</v>
      </c>
      <c r="E64" s="5">
        <f t="shared" si="1"/>
        <v>3.9795</v>
      </c>
    </row>
    <row r="65" spans="1:5" s="27" customFormat="1" ht="23.25">
      <c r="A65" s="21" t="s">
        <v>137</v>
      </c>
      <c r="B65" s="2" t="s">
        <v>138</v>
      </c>
      <c r="C65" s="5">
        <f>7.57+(7.57*5/100)</f>
        <v>7.9485</v>
      </c>
      <c r="D65" s="28" t="s">
        <v>104</v>
      </c>
      <c r="E65" s="5">
        <f t="shared" si="1"/>
        <v>7.9485</v>
      </c>
    </row>
    <row r="66" spans="1:5" s="27" customFormat="1" ht="23.25">
      <c r="A66" s="21" t="s">
        <v>139</v>
      </c>
      <c r="B66" s="2" t="s">
        <v>140</v>
      </c>
      <c r="C66" s="5">
        <f>2.52+(2.52*5/100)</f>
        <v>2.646</v>
      </c>
      <c r="D66" s="28" t="s">
        <v>104</v>
      </c>
      <c r="E66" s="5">
        <f t="shared" si="1"/>
        <v>2.646</v>
      </c>
    </row>
    <row r="67" spans="1:5" s="27" customFormat="1" ht="23.25">
      <c r="A67" s="21" t="s">
        <v>141</v>
      </c>
      <c r="B67" s="2" t="s">
        <v>142</v>
      </c>
      <c r="C67" s="5">
        <f>6.31+(6.31*5/100)</f>
        <v>6.6255</v>
      </c>
      <c r="D67" s="28" t="s">
        <v>104</v>
      </c>
      <c r="E67" s="5">
        <f t="shared" si="1"/>
        <v>6.6255</v>
      </c>
    </row>
    <row r="68" spans="1:5" s="27" customFormat="1" ht="23.25">
      <c r="A68" s="21" t="s">
        <v>143</v>
      </c>
      <c r="B68" s="2" t="s">
        <v>144</v>
      </c>
      <c r="C68" s="5">
        <f>5.05+(5.05*5/100)</f>
        <v>5.3025</v>
      </c>
      <c r="D68" s="28" t="s">
        <v>104</v>
      </c>
      <c r="E68" s="5">
        <f t="shared" si="1"/>
        <v>5.3025</v>
      </c>
    </row>
    <row r="69" spans="1:5" s="27" customFormat="1" ht="23.25">
      <c r="A69" s="21" t="s">
        <v>145</v>
      </c>
      <c r="B69" s="2" t="s">
        <v>146</v>
      </c>
      <c r="C69" s="5">
        <f>5.13+(5.13*5/100)</f>
        <v>5.3865</v>
      </c>
      <c r="D69" s="28" t="s">
        <v>104</v>
      </c>
      <c r="E69" s="5">
        <f t="shared" si="1"/>
        <v>5.3865</v>
      </c>
    </row>
    <row r="70" spans="1:5" s="27" customFormat="1" ht="46.5">
      <c r="A70" s="21" t="s">
        <v>594</v>
      </c>
      <c r="B70" s="2" t="s">
        <v>595</v>
      </c>
      <c r="C70" s="5">
        <f>7.28+(7.28*5/100)</f>
        <v>7.644</v>
      </c>
      <c r="D70" s="28" t="s">
        <v>104</v>
      </c>
      <c r="E70" s="5">
        <f>C70</f>
        <v>7.644</v>
      </c>
    </row>
    <row r="71" spans="1:5" s="27" customFormat="1" ht="23.25">
      <c r="A71" s="21" t="s">
        <v>596</v>
      </c>
      <c r="B71" s="2" t="s">
        <v>597</v>
      </c>
      <c r="C71" s="5">
        <f>8.53+(8.53*5/100)</f>
        <v>8.9565</v>
      </c>
      <c r="D71" s="28" t="s">
        <v>104</v>
      </c>
      <c r="E71" s="5">
        <f>C71</f>
        <v>8.9565</v>
      </c>
    </row>
    <row r="72" spans="1:5" s="27" customFormat="1" ht="26.25">
      <c r="A72" s="45" t="s">
        <v>1131</v>
      </c>
      <c r="B72" s="45"/>
      <c r="C72" s="45"/>
      <c r="D72" s="45"/>
      <c r="E72" s="45"/>
    </row>
    <row r="73" spans="1:5" s="27" customFormat="1" ht="23.25">
      <c r="A73" s="21"/>
      <c r="B73" s="2" t="s">
        <v>614</v>
      </c>
      <c r="C73" s="5">
        <f>6.86+(6.86*5/100)</f>
        <v>7.203</v>
      </c>
      <c r="D73" s="5" t="s">
        <v>104</v>
      </c>
      <c r="E73" s="5">
        <f>C73</f>
        <v>7.203</v>
      </c>
    </row>
    <row r="74" spans="1:5" s="27" customFormat="1" ht="23.25">
      <c r="A74" s="21"/>
      <c r="B74" s="2" t="s">
        <v>615</v>
      </c>
      <c r="C74" s="5">
        <f>3.29+(3.29*5/100)</f>
        <v>3.4545</v>
      </c>
      <c r="D74" s="5" t="s">
        <v>104</v>
      </c>
      <c r="E74" s="5">
        <f>C74</f>
        <v>3.4545</v>
      </c>
    </row>
    <row r="75" spans="1:5" s="27" customFormat="1" ht="23.25">
      <c r="A75" s="21" t="s">
        <v>557</v>
      </c>
      <c r="B75" s="2" t="s">
        <v>1132</v>
      </c>
      <c r="C75" s="5"/>
      <c r="D75" s="28"/>
      <c r="E75" s="5"/>
    </row>
    <row r="76" spans="1:5" s="27" customFormat="1" ht="23.25">
      <c r="A76" s="21" t="s">
        <v>127</v>
      </c>
      <c r="B76" s="2" t="s">
        <v>459</v>
      </c>
      <c r="C76" s="5">
        <f>1.75+(1.75*5/100)</f>
        <v>1.8375</v>
      </c>
      <c r="D76" s="28" t="s">
        <v>104</v>
      </c>
      <c r="E76" s="5">
        <f>C76</f>
        <v>1.8375</v>
      </c>
    </row>
    <row r="77" spans="1:5" s="27" customFormat="1" ht="23.25">
      <c r="A77" s="21" t="s">
        <v>129</v>
      </c>
      <c r="B77" s="2" t="s">
        <v>460</v>
      </c>
      <c r="C77" s="5">
        <f>4.66+(4.66*5/100)</f>
        <v>4.893</v>
      </c>
      <c r="D77" s="28" t="s">
        <v>104</v>
      </c>
      <c r="E77" s="5">
        <f aca="true" t="shared" si="2" ref="E77:E109">C77</f>
        <v>4.893</v>
      </c>
    </row>
    <row r="78" spans="1:5" s="27" customFormat="1" ht="23.25">
      <c r="A78" s="21" t="s">
        <v>217</v>
      </c>
      <c r="B78" s="2" t="s">
        <v>461</v>
      </c>
      <c r="C78" s="5">
        <f>8.74+(8.74*5/100)</f>
        <v>9.177</v>
      </c>
      <c r="D78" s="28" t="s">
        <v>104</v>
      </c>
      <c r="E78" s="5">
        <f t="shared" si="2"/>
        <v>9.177</v>
      </c>
    </row>
    <row r="79" spans="1:5" s="27" customFormat="1" ht="23.25">
      <c r="A79" s="21" t="s">
        <v>265</v>
      </c>
      <c r="B79" s="2" t="s">
        <v>462</v>
      </c>
      <c r="C79" s="5">
        <f>1.75+(1.75*5/100)</f>
        <v>1.8375</v>
      </c>
      <c r="D79" s="28" t="s">
        <v>104</v>
      </c>
      <c r="E79" s="5">
        <f t="shared" si="2"/>
        <v>1.8375</v>
      </c>
    </row>
    <row r="80" spans="1:5" s="27" customFormat="1" ht="50.25" customHeight="1">
      <c r="A80" s="21" t="s">
        <v>267</v>
      </c>
      <c r="B80" s="2" t="s">
        <v>463</v>
      </c>
      <c r="C80" s="5">
        <f>4.38+(4.38*5/100)</f>
        <v>4.599</v>
      </c>
      <c r="D80" s="28" t="s">
        <v>104</v>
      </c>
      <c r="E80" s="5">
        <f t="shared" si="2"/>
        <v>4.599</v>
      </c>
    </row>
    <row r="81" spans="1:5" s="27" customFormat="1" ht="23.25">
      <c r="A81" s="21" t="s">
        <v>269</v>
      </c>
      <c r="B81" s="2" t="s">
        <v>464</v>
      </c>
      <c r="C81" s="5">
        <f>7.28+(7.28*5/100)</f>
        <v>7.644</v>
      </c>
      <c r="D81" s="28" t="s">
        <v>104</v>
      </c>
      <c r="E81" s="5">
        <f t="shared" si="2"/>
        <v>7.644</v>
      </c>
    </row>
    <row r="82" spans="1:5" s="27" customFormat="1" ht="23.25">
      <c r="A82" s="21" t="s">
        <v>443</v>
      </c>
      <c r="B82" s="2" t="s">
        <v>465</v>
      </c>
      <c r="C82" s="5">
        <f>2.34+(2.34*5/100)</f>
        <v>2.457</v>
      </c>
      <c r="D82" s="28" t="s">
        <v>104</v>
      </c>
      <c r="E82" s="5">
        <f t="shared" si="2"/>
        <v>2.457</v>
      </c>
    </row>
    <row r="83" spans="1:5" s="27" customFormat="1" ht="23.25">
      <c r="A83" s="21" t="s">
        <v>446</v>
      </c>
      <c r="B83" s="2" t="s">
        <v>266</v>
      </c>
      <c r="C83" s="5">
        <f>7.28+(7.28*5/100)</f>
        <v>7.644</v>
      </c>
      <c r="D83" s="28" t="s">
        <v>104</v>
      </c>
      <c r="E83" s="5">
        <f t="shared" si="2"/>
        <v>7.644</v>
      </c>
    </row>
    <row r="84" spans="1:5" s="27" customFormat="1" ht="23.25">
      <c r="A84" s="21" t="s">
        <v>447</v>
      </c>
      <c r="B84" s="2" t="s">
        <v>466</v>
      </c>
      <c r="C84" s="5">
        <f>7.58+(7.58*5/100)</f>
        <v>7.959</v>
      </c>
      <c r="D84" s="28" t="s">
        <v>104</v>
      </c>
      <c r="E84" s="5">
        <f t="shared" si="2"/>
        <v>7.959</v>
      </c>
    </row>
    <row r="85" spans="1:5" s="27" customFormat="1" ht="23.25">
      <c r="A85" s="21" t="s">
        <v>444</v>
      </c>
      <c r="B85" s="2" t="s">
        <v>467</v>
      </c>
      <c r="C85" s="5">
        <f>4.38+(4.38*5/100)</f>
        <v>4.599</v>
      </c>
      <c r="D85" s="28" t="s">
        <v>104</v>
      </c>
      <c r="E85" s="5">
        <f t="shared" si="2"/>
        <v>4.599</v>
      </c>
    </row>
    <row r="86" spans="1:5" s="27" customFormat="1" ht="23.25">
      <c r="A86" s="21" t="s">
        <v>468</v>
      </c>
      <c r="B86" s="2" t="s">
        <v>469</v>
      </c>
      <c r="C86" s="5">
        <f>1.46+(1.46*5/100)</f>
        <v>1.533</v>
      </c>
      <c r="D86" s="28" t="s">
        <v>104</v>
      </c>
      <c r="E86" s="5">
        <f t="shared" si="2"/>
        <v>1.533</v>
      </c>
    </row>
    <row r="87" spans="1:5" s="27" customFormat="1" ht="23.25">
      <c r="A87" s="21" t="s">
        <v>470</v>
      </c>
      <c r="B87" s="2" t="s">
        <v>471</v>
      </c>
      <c r="C87" s="5">
        <f>1.46+(1.46*5/100)</f>
        <v>1.533</v>
      </c>
      <c r="D87" s="28" t="s">
        <v>104</v>
      </c>
      <c r="E87" s="5">
        <f t="shared" si="2"/>
        <v>1.533</v>
      </c>
    </row>
    <row r="88" spans="1:5" s="27" customFormat="1" ht="25.5" customHeight="1">
      <c r="A88" s="21" t="s">
        <v>472</v>
      </c>
      <c r="B88" s="2" t="s">
        <v>473</v>
      </c>
      <c r="C88" s="5">
        <f>5.83+(5.83*5/100)</f>
        <v>6.1215</v>
      </c>
      <c r="D88" s="28" t="s">
        <v>104</v>
      </c>
      <c r="E88" s="5">
        <f t="shared" si="2"/>
        <v>6.1215</v>
      </c>
    </row>
    <row r="89" spans="1:5" s="27" customFormat="1" ht="23.25">
      <c r="A89" s="21" t="s">
        <v>474</v>
      </c>
      <c r="B89" s="2" t="s">
        <v>475</v>
      </c>
      <c r="C89" s="5">
        <f>4.38+(4.38*5/100)</f>
        <v>4.599</v>
      </c>
      <c r="D89" s="28" t="s">
        <v>104</v>
      </c>
      <c r="E89" s="5">
        <f t="shared" si="2"/>
        <v>4.599</v>
      </c>
    </row>
    <row r="90" spans="1:5" s="27" customFormat="1" ht="46.5">
      <c r="A90" s="21" t="s">
        <v>476</v>
      </c>
      <c r="B90" s="2" t="s">
        <v>477</v>
      </c>
      <c r="C90" s="5">
        <f>2.34+(2.34*5/100)</f>
        <v>2.457</v>
      </c>
      <c r="D90" s="28" t="s">
        <v>104</v>
      </c>
      <c r="E90" s="5">
        <f t="shared" si="2"/>
        <v>2.457</v>
      </c>
    </row>
    <row r="91" spans="1:5" s="27" customFormat="1" ht="23.25">
      <c r="A91" s="29" t="s">
        <v>478</v>
      </c>
      <c r="B91" s="2" t="s">
        <v>479</v>
      </c>
      <c r="C91" s="5">
        <f>4.38+(4.38*5/100)</f>
        <v>4.599</v>
      </c>
      <c r="D91" s="28" t="s">
        <v>104</v>
      </c>
      <c r="E91" s="5">
        <f t="shared" si="2"/>
        <v>4.599</v>
      </c>
    </row>
    <row r="92" spans="1:5" s="27" customFormat="1" ht="23.25">
      <c r="A92" s="21" t="s">
        <v>480</v>
      </c>
      <c r="B92" s="2" t="s">
        <v>481</v>
      </c>
      <c r="C92" s="5">
        <f>10.2+(10.2*5/100)</f>
        <v>10.709999999999999</v>
      </c>
      <c r="D92" s="28" t="s">
        <v>104</v>
      </c>
      <c r="E92" s="5">
        <f t="shared" si="2"/>
        <v>10.709999999999999</v>
      </c>
    </row>
    <row r="93" spans="1:5" s="27" customFormat="1" ht="23.25">
      <c r="A93" s="21" t="s">
        <v>991</v>
      </c>
      <c r="B93" s="2" t="s">
        <v>482</v>
      </c>
      <c r="C93" s="5">
        <f>2.91+(2.91*5/100)</f>
        <v>3.0555000000000003</v>
      </c>
      <c r="D93" s="28" t="s">
        <v>104</v>
      </c>
      <c r="E93" s="5">
        <f t="shared" si="2"/>
        <v>3.0555000000000003</v>
      </c>
    </row>
    <row r="94" spans="1:5" s="27" customFormat="1" ht="23.25">
      <c r="A94" s="21" t="s">
        <v>1176</v>
      </c>
      <c r="B94" s="2" t="s">
        <v>483</v>
      </c>
      <c r="C94" s="5">
        <f>5.83+(5.83*5/100)</f>
        <v>6.1215</v>
      </c>
      <c r="D94" s="28" t="s">
        <v>104</v>
      </c>
      <c r="E94" s="5">
        <f t="shared" si="2"/>
        <v>6.1215</v>
      </c>
    </row>
    <row r="95" spans="1:5" s="27" customFormat="1" ht="23.25">
      <c r="A95" s="21" t="s">
        <v>992</v>
      </c>
      <c r="B95" s="2" t="s">
        <v>484</v>
      </c>
      <c r="C95" s="5">
        <f>8.74+(8.74*5/100)</f>
        <v>9.177</v>
      </c>
      <c r="D95" s="28" t="s">
        <v>104</v>
      </c>
      <c r="E95" s="5">
        <f t="shared" si="2"/>
        <v>9.177</v>
      </c>
    </row>
    <row r="96" spans="1:5" s="27" customFormat="1" ht="23.25">
      <c r="A96" s="21" t="s">
        <v>485</v>
      </c>
      <c r="B96" s="2" t="s">
        <v>486</v>
      </c>
      <c r="C96" s="5">
        <f>5.83+(5.83*5/100)</f>
        <v>6.1215</v>
      </c>
      <c r="D96" s="28" t="s">
        <v>104</v>
      </c>
      <c r="E96" s="5">
        <f t="shared" si="2"/>
        <v>6.1215</v>
      </c>
    </row>
    <row r="97" spans="1:5" s="27" customFormat="1" ht="23.25">
      <c r="A97" s="21" t="s">
        <v>993</v>
      </c>
      <c r="B97" s="2" t="s">
        <v>487</v>
      </c>
      <c r="C97" s="5">
        <f>2.34+(2.34*5/100)</f>
        <v>2.457</v>
      </c>
      <c r="D97" s="28" t="s">
        <v>104</v>
      </c>
      <c r="E97" s="5">
        <f t="shared" si="2"/>
        <v>2.457</v>
      </c>
    </row>
    <row r="98" spans="1:5" s="27" customFormat="1" ht="23.25">
      <c r="A98" s="21" t="s">
        <v>994</v>
      </c>
      <c r="B98" s="2" t="s">
        <v>488</v>
      </c>
      <c r="C98" s="5">
        <f>1.46+(1.46*5/100)</f>
        <v>1.533</v>
      </c>
      <c r="D98" s="28" t="s">
        <v>104</v>
      </c>
      <c r="E98" s="5">
        <f t="shared" si="2"/>
        <v>1.533</v>
      </c>
    </row>
    <row r="99" spans="1:5" s="27" customFormat="1" ht="23.25">
      <c r="A99" s="21" t="s">
        <v>489</v>
      </c>
      <c r="B99" s="2" t="s">
        <v>490</v>
      </c>
      <c r="C99" s="5">
        <f>1.46+(1.46*5/100)</f>
        <v>1.533</v>
      </c>
      <c r="D99" s="28" t="s">
        <v>104</v>
      </c>
      <c r="E99" s="5">
        <f t="shared" si="2"/>
        <v>1.533</v>
      </c>
    </row>
    <row r="100" spans="1:5" s="27" customFormat="1" ht="23.25">
      <c r="A100" s="21" t="s">
        <v>995</v>
      </c>
      <c r="B100" s="2" t="s">
        <v>491</v>
      </c>
      <c r="C100" s="5">
        <f>4.38+(4.38*5/100)</f>
        <v>4.599</v>
      </c>
      <c r="D100" s="28" t="s">
        <v>104</v>
      </c>
      <c r="E100" s="5">
        <f t="shared" si="2"/>
        <v>4.599</v>
      </c>
    </row>
    <row r="101" spans="1:5" s="27" customFormat="1" ht="23.25">
      <c r="A101" s="21" t="s">
        <v>1006</v>
      </c>
      <c r="B101" s="2" t="s">
        <v>492</v>
      </c>
      <c r="C101" s="5">
        <f>4.38+(4.38*5/100)</f>
        <v>4.599</v>
      </c>
      <c r="D101" s="28" t="s">
        <v>104</v>
      </c>
      <c r="E101" s="5">
        <f t="shared" si="2"/>
        <v>4.599</v>
      </c>
    </row>
    <row r="102" spans="1:5" s="27" customFormat="1" ht="23.25">
      <c r="A102" s="21" t="s">
        <v>562</v>
      </c>
      <c r="B102" s="2" t="s">
        <v>493</v>
      </c>
      <c r="C102" s="5">
        <f>5.83+(5.83*5/100)</f>
        <v>6.1215</v>
      </c>
      <c r="D102" s="28" t="s">
        <v>104</v>
      </c>
      <c r="E102" s="5">
        <f t="shared" si="2"/>
        <v>6.1215</v>
      </c>
    </row>
    <row r="103" spans="1:5" s="27" customFormat="1" ht="46.5">
      <c r="A103" s="21" t="s">
        <v>563</v>
      </c>
      <c r="B103" s="2" t="s">
        <v>494</v>
      </c>
      <c r="C103" s="5">
        <f>10.2+(10.2*5/100)</f>
        <v>10.709999999999999</v>
      </c>
      <c r="D103" s="28" t="s">
        <v>104</v>
      </c>
      <c r="E103" s="5">
        <f t="shared" si="2"/>
        <v>10.709999999999999</v>
      </c>
    </row>
    <row r="104" spans="1:5" s="27" customFormat="1" ht="23.25">
      <c r="A104" s="21" t="s">
        <v>495</v>
      </c>
      <c r="B104" s="2" t="s">
        <v>496</v>
      </c>
      <c r="C104" s="5">
        <f>7.28+(7.28*5/100)</f>
        <v>7.644</v>
      </c>
      <c r="D104" s="28" t="s">
        <v>104</v>
      </c>
      <c r="E104" s="5">
        <f t="shared" si="2"/>
        <v>7.644</v>
      </c>
    </row>
    <row r="105" spans="1:5" s="27" customFormat="1" ht="23.25">
      <c r="A105" s="21" t="s">
        <v>497</v>
      </c>
      <c r="B105" s="2" t="s">
        <v>498</v>
      </c>
      <c r="C105" s="5">
        <f>2.91+(2.91*5/100)</f>
        <v>3.0555000000000003</v>
      </c>
      <c r="D105" s="28" t="s">
        <v>104</v>
      </c>
      <c r="E105" s="5">
        <f t="shared" si="2"/>
        <v>3.0555000000000003</v>
      </c>
    </row>
    <row r="106" spans="1:5" s="27" customFormat="1" ht="23.25">
      <c r="A106" s="21" t="s">
        <v>499</v>
      </c>
      <c r="B106" s="2" t="s">
        <v>500</v>
      </c>
      <c r="C106" s="5">
        <f>17.48+(17.48*5/100)</f>
        <v>18.354</v>
      </c>
      <c r="D106" s="28" t="s">
        <v>104</v>
      </c>
      <c r="E106" s="5">
        <f t="shared" si="2"/>
        <v>18.354</v>
      </c>
    </row>
    <row r="107" spans="1:5" s="27" customFormat="1" ht="23.25">
      <c r="A107" s="21" t="s">
        <v>501</v>
      </c>
      <c r="B107" s="2" t="s">
        <v>502</v>
      </c>
      <c r="C107" s="5">
        <f>11.66+(11.66*5/100)</f>
        <v>12.243</v>
      </c>
      <c r="D107" s="28" t="s">
        <v>104</v>
      </c>
      <c r="E107" s="5">
        <f t="shared" si="2"/>
        <v>12.243</v>
      </c>
    </row>
    <row r="108" spans="1:5" s="27" customFormat="1" ht="23.25">
      <c r="A108" s="30" t="s">
        <v>503</v>
      </c>
      <c r="B108" s="2" t="s">
        <v>504</v>
      </c>
      <c r="C108" s="5">
        <f>11.66+(11.66*5/100)</f>
        <v>12.243</v>
      </c>
      <c r="D108" s="28" t="s">
        <v>104</v>
      </c>
      <c r="E108" s="5">
        <f t="shared" si="2"/>
        <v>12.243</v>
      </c>
    </row>
    <row r="109" spans="1:5" s="27" customFormat="1" ht="28.5" customHeight="1">
      <c r="A109" s="21"/>
      <c r="B109" s="2" t="s">
        <v>505</v>
      </c>
      <c r="C109" s="5">
        <f>8.34+(8.34*5/100)</f>
        <v>8.757</v>
      </c>
      <c r="D109" s="28" t="s">
        <v>104</v>
      </c>
      <c r="E109" s="5">
        <f t="shared" si="2"/>
        <v>8.757</v>
      </c>
    </row>
    <row r="110" spans="1:5" s="27" customFormat="1" ht="24" customHeight="1">
      <c r="A110" s="21" t="s">
        <v>1109</v>
      </c>
      <c r="B110" s="2" t="s">
        <v>506</v>
      </c>
      <c r="C110" s="5"/>
      <c r="D110" s="28"/>
      <c r="E110" s="5"/>
    </row>
    <row r="111" spans="1:5" s="27" customFormat="1" ht="23.25">
      <c r="A111" s="29" t="s">
        <v>131</v>
      </c>
      <c r="B111" s="2" t="s">
        <v>507</v>
      </c>
      <c r="C111" s="5">
        <f>1.46+(1.46*5/100)</f>
        <v>1.533</v>
      </c>
      <c r="D111" s="28" t="s">
        <v>104</v>
      </c>
      <c r="E111" s="5">
        <f>C111</f>
        <v>1.533</v>
      </c>
    </row>
    <row r="112" spans="1:5" s="27" customFormat="1" ht="23.25">
      <c r="A112" s="21" t="s">
        <v>893</v>
      </c>
      <c r="B112" s="2" t="s">
        <v>508</v>
      </c>
      <c r="C112" s="5">
        <f>1.46+(1.46*5/100)</f>
        <v>1.533</v>
      </c>
      <c r="D112" s="28" t="s">
        <v>104</v>
      </c>
      <c r="E112" s="5">
        <f>C112</f>
        <v>1.533</v>
      </c>
    </row>
    <row r="113" spans="1:5" s="24" customFormat="1" ht="26.25">
      <c r="A113" s="21" t="s">
        <v>133</v>
      </c>
      <c r="B113" s="2" t="s">
        <v>509</v>
      </c>
      <c r="C113" s="5">
        <f>2.34+(2.34*5/100)</f>
        <v>2.457</v>
      </c>
      <c r="D113" s="28" t="s">
        <v>104</v>
      </c>
      <c r="E113" s="5">
        <f>C113</f>
        <v>2.457</v>
      </c>
    </row>
    <row r="114" spans="1:5" s="24" customFormat="1" ht="26.25">
      <c r="A114" s="21"/>
      <c r="B114" s="2" t="s">
        <v>1211</v>
      </c>
      <c r="C114" s="5">
        <v>17.32</v>
      </c>
      <c r="D114" s="5">
        <v>11.12</v>
      </c>
      <c r="E114" s="5">
        <f>C114+D114</f>
        <v>28.439999999999998</v>
      </c>
    </row>
    <row r="115" spans="1:5" s="27" customFormat="1" ht="26.25">
      <c r="A115" s="49" t="s">
        <v>147</v>
      </c>
      <c r="B115" s="49"/>
      <c r="C115" s="49"/>
      <c r="D115" s="49"/>
      <c r="E115" s="49"/>
    </row>
    <row r="116" spans="1:5" s="27" customFormat="1" ht="23.25">
      <c r="A116" s="25"/>
      <c r="B116" s="2" t="s">
        <v>616</v>
      </c>
      <c r="C116" s="26">
        <f>7.92+(7.92*5/100)</f>
        <v>8.316</v>
      </c>
      <c r="D116" s="26" t="s">
        <v>104</v>
      </c>
      <c r="E116" s="26">
        <f aca="true" t="shared" si="3" ref="E116:E126">C116</f>
        <v>8.316</v>
      </c>
    </row>
    <row r="117" spans="1:5" s="27" customFormat="1" ht="23.25">
      <c r="A117" s="25"/>
      <c r="B117" s="2" t="s">
        <v>617</v>
      </c>
      <c r="C117" s="26">
        <f>5.28+(5.28*5/100)</f>
        <v>5.5440000000000005</v>
      </c>
      <c r="D117" s="26" t="s">
        <v>104</v>
      </c>
      <c r="E117" s="26">
        <f t="shared" si="3"/>
        <v>5.5440000000000005</v>
      </c>
    </row>
    <row r="118" spans="1:5" s="27" customFormat="1" ht="23.25">
      <c r="A118" s="25"/>
      <c r="B118" s="2" t="s">
        <v>618</v>
      </c>
      <c r="C118" s="26">
        <f>0.53+(0.53*5/100)</f>
        <v>0.5565</v>
      </c>
      <c r="D118" s="26" t="s">
        <v>104</v>
      </c>
      <c r="E118" s="26">
        <f t="shared" si="3"/>
        <v>0.5565</v>
      </c>
    </row>
    <row r="119" spans="1:5" s="27" customFormat="1" ht="23.25">
      <c r="A119" s="25"/>
      <c r="B119" s="2" t="s">
        <v>619</v>
      </c>
      <c r="C119" s="26">
        <f>0.53+(0.53*5/100)</f>
        <v>0.5565</v>
      </c>
      <c r="D119" s="26" t="s">
        <v>104</v>
      </c>
      <c r="E119" s="26">
        <f t="shared" si="3"/>
        <v>0.5565</v>
      </c>
    </row>
    <row r="120" spans="1:5" s="27" customFormat="1" ht="23.25">
      <c r="A120" s="25"/>
      <c r="B120" s="2" t="s">
        <v>620</v>
      </c>
      <c r="C120" s="26">
        <f>6.65+(6.65*5/100)</f>
        <v>6.9825</v>
      </c>
      <c r="D120" s="26" t="s">
        <v>104</v>
      </c>
      <c r="E120" s="26">
        <f t="shared" si="3"/>
        <v>6.9825</v>
      </c>
    </row>
    <row r="121" spans="1:5" s="27" customFormat="1" ht="46.5" customHeight="1">
      <c r="A121" s="25"/>
      <c r="B121" s="2" t="s">
        <v>621</v>
      </c>
      <c r="C121" s="26">
        <f>11.17+(11.17*5/100)</f>
        <v>11.7285</v>
      </c>
      <c r="D121" s="26" t="s">
        <v>104</v>
      </c>
      <c r="E121" s="26">
        <f t="shared" si="3"/>
        <v>11.7285</v>
      </c>
    </row>
    <row r="122" spans="1:5" s="27" customFormat="1" ht="46.5">
      <c r="A122" s="25"/>
      <c r="B122" s="2" t="s">
        <v>622</v>
      </c>
      <c r="C122" s="26">
        <f>8.37+(8.37*5/100)</f>
        <v>8.788499999999999</v>
      </c>
      <c r="D122" s="26" t="s">
        <v>104</v>
      </c>
      <c r="E122" s="26">
        <f t="shared" si="3"/>
        <v>8.788499999999999</v>
      </c>
    </row>
    <row r="123" spans="1:5" s="27" customFormat="1" ht="23.25">
      <c r="A123" s="25"/>
      <c r="B123" s="2" t="s">
        <v>623</v>
      </c>
      <c r="C123" s="26">
        <f>5.58+(5.58*5/100)</f>
        <v>5.859</v>
      </c>
      <c r="D123" s="26" t="s">
        <v>104</v>
      </c>
      <c r="E123" s="26">
        <f t="shared" si="3"/>
        <v>5.859</v>
      </c>
    </row>
    <row r="124" spans="1:5" s="27" customFormat="1" ht="23.25">
      <c r="A124" s="25"/>
      <c r="B124" s="2" t="s">
        <v>624</v>
      </c>
      <c r="C124" s="26">
        <f>1.07+(1.07*5/100)</f>
        <v>1.1235000000000002</v>
      </c>
      <c r="D124" s="26" t="s">
        <v>104</v>
      </c>
      <c r="E124" s="26">
        <f t="shared" si="3"/>
        <v>1.1235000000000002</v>
      </c>
    </row>
    <row r="125" spans="1:5" s="27" customFormat="1" ht="23.25">
      <c r="A125" s="25"/>
      <c r="B125" s="2" t="s">
        <v>625</v>
      </c>
      <c r="C125" s="26">
        <f>1.07+(1.07*5/100)</f>
        <v>1.1235000000000002</v>
      </c>
      <c r="D125" s="26" t="s">
        <v>104</v>
      </c>
      <c r="E125" s="26">
        <f t="shared" si="3"/>
        <v>1.1235000000000002</v>
      </c>
    </row>
    <row r="126" spans="1:5" s="27" customFormat="1" ht="23.25">
      <c r="A126" s="25"/>
      <c r="B126" s="2" t="s">
        <v>626</v>
      </c>
      <c r="C126" s="26">
        <f>1.06+(1.06*5/100)</f>
        <v>1.113</v>
      </c>
      <c r="D126" s="26" t="s">
        <v>104</v>
      </c>
      <c r="E126" s="26">
        <f t="shared" si="3"/>
        <v>1.113</v>
      </c>
    </row>
    <row r="127" spans="1:5" s="27" customFormat="1" ht="23.25">
      <c r="A127" s="21" t="s">
        <v>139</v>
      </c>
      <c r="B127" s="2" t="s">
        <v>200</v>
      </c>
      <c r="C127" s="5">
        <f>3.97+(3.97*5/100)</f>
        <v>4.1685</v>
      </c>
      <c r="D127" s="5">
        <v>1.12</v>
      </c>
      <c r="E127" s="5">
        <f>C127+D127</f>
        <v>5.2885</v>
      </c>
    </row>
    <row r="128" spans="1:5" s="27" customFormat="1" ht="23.25">
      <c r="A128" s="21" t="s">
        <v>141</v>
      </c>
      <c r="B128" s="2" t="s">
        <v>55</v>
      </c>
      <c r="C128" s="5">
        <f>3.97+(3.97*5/100)</f>
        <v>4.1685</v>
      </c>
      <c r="D128" s="5">
        <v>1.12</v>
      </c>
      <c r="E128" s="5">
        <f>C128+D128</f>
        <v>5.2885</v>
      </c>
    </row>
    <row r="129" spans="1:5" s="27" customFormat="1" ht="23.25">
      <c r="A129" s="21" t="s">
        <v>148</v>
      </c>
      <c r="B129" s="2" t="s">
        <v>54</v>
      </c>
      <c r="C129" s="5">
        <f>5.58+(5.58*5/100)</f>
        <v>5.859</v>
      </c>
      <c r="D129" s="5">
        <v>8.25</v>
      </c>
      <c r="E129" s="5">
        <f>C129+D129</f>
        <v>14.109</v>
      </c>
    </row>
    <row r="130" spans="1:5" s="27" customFormat="1" ht="23.25">
      <c r="A130" s="21"/>
      <c r="B130" s="2" t="s">
        <v>627</v>
      </c>
      <c r="C130" s="5">
        <f>4.19+(4.19*5/100)</f>
        <v>4.399500000000001</v>
      </c>
      <c r="D130" s="5" t="s">
        <v>104</v>
      </c>
      <c r="E130" s="5">
        <f aca="true" t="shared" si="4" ref="E130:E137">C130</f>
        <v>4.399500000000001</v>
      </c>
    </row>
    <row r="131" spans="1:5" s="27" customFormat="1" ht="23.25">
      <c r="A131" s="21"/>
      <c r="B131" s="2" t="s">
        <v>628</v>
      </c>
      <c r="C131" s="5">
        <f>2.79+(2.79*5/100)</f>
        <v>2.9295</v>
      </c>
      <c r="D131" s="5" t="s">
        <v>104</v>
      </c>
      <c r="E131" s="5">
        <f t="shared" si="4"/>
        <v>2.9295</v>
      </c>
    </row>
    <row r="132" spans="1:5" s="27" customFormat="1" ht="23.25">
      <c r="A132" s="21"/>
      <c r="B132" s="2" t="s">
        <v>629</v>
      </c>
      <c r="C132" s="5">
        <f>4.19+(4.19*5/100)</f>
        <v>4.399500000000001</v>
      </c>
      <c r="D132" s="5" t="s">
        <v>104</v>
      </c>
      <c r="E132" s="5">
        <f t="shared" si="4"/>
        <v>4.399500000000001</v>
      </c>
    </row>
    <row r="133" spans="1:5" s="27" customFormat="1" ht="46.5">
      <c r="A133" s="21"/>
      <c r="B133" s="2" t="s">
        <v>630</v>
      </c>
      <c r="C133" s="5">
        <f>21.72+(21.72*5/100)</f>
        <v>22.805999999999997</v>
      </c>
      <c r="D133" s="5" t="s">
        <v>104</v>
      </c>
      <c r="E133" s="5">
        <f t="shared" si="4"/>
        <v>22.805999999999997</v>
      </c>
    </row>
    <row r="134" spans="1:5" s="27" customFormat="1" ht="23.25">
      <c r="A134" s="21"/>
      <c r="B134" s="2" t="s">
        <v>631</v>
      </c>
      <c r="C134" s="5">
        <f>21.72+(21.72*5/100)</f>
        <v>22.805999999999997</v>
      </c>
      <c r="D134" s="5" t="s">
        <v>104</v>
      </c>
      <c r="E134" s="5">
        <f t="shared" si="4"/>
        <v>22.805999999999997</v>
      </c>
    </row>
    <row r="135" spans="1:5" s="27" customFormat="1" ht="23.25">
      <c r="A135" s="21"/>
      <c r="B135" s="2" t="s">
        <v>632</v>
      </c>
      <c r="C135" s="5">
        <f>21.72+(21.72*5/100)</f>
        <v>22.805999999999997</v>
      </c>
      <c r="D135" s="5" t="s">
        <v>104</v>
      </c>
      <c r="E135" s="5">
        <f t="shared" si="4"/>
        <v>22.805999999999997</v>
      </c>
    </row>
    <row r="136" spans="1:5" s="27" customFormat="1" ht="23.25">
      <c r="A136" s="21"/>
      <c r="B136" s="2" t="s">
        <v>633</v>
      </c>
      <c r="C136" s="5">
        <f>23.94+(23.94*5/100)</f>
        <v>25.137</v>
      </c>
      <c r="D136" s="5" t="s">
        <v>104</v>
      </c>
      <c r="E136" s="5">
        <f t="shared" si="4"/>
        <v>25.137</v>
      </c>
    </row>
    <row r="137" spans="1:5" s="27" customFormat="1" ht="23.25">
      <c r="A137" s="21"/>
      <c r="B137" s="2" t="s">
        <v>634</v>
      </c>
      <c r="C137" s="5">
        <f>23.94+(23.94*5/100)</f>
        <v>25.137</v>
      </c>
      <c r="D137" s="5" t="s">
        <v>104</v>
      </c>
      <c r="E137" s="5">
        <f t="shared" si="4"/>
        <v>25.137</v>
      </c>
    </row>
    <row r="138" spans="1:5" s="27" customFormat="1" ht="23.25">
      <c r="A138" s="21" t="s">
        <v>149</v>
      </c>
      <c r="B138" s="2" t="s">
        <v>199</v>
      </c>
      <c r="C138" s="5">
        <f>15.07+(15.07*5/100)</f>
        <v>15.823500000000001</v>
      </c>
      <c r="D138" s="5">
        <v>9.43</v>
      </c>
      <c r="E138" s="5">
        <f>C138+D138</f>
        <v>25.253500000000003</v>
      </c>
    </row>
    <row r="139" spans="1:5" s="27" customFormat="1" ht="47.25" customHeight="1">
      <c r="A139" s="21"/>
      <c r="B139" s="2" t="s">
        <v>635</v>
      </c>
      <c r="C139" s="5">
        <f>19.5+(19.5*5/100)</f>
        <v>20.475</v>
      </c>
      <c r="D139" s="5" t="s">
        <v>104</v>
      </c>
      <c r="E139" s="5">
        <f aca="true" t="shared" si="5" ref="E139:E144">C139</f>
        <v>20.475</v>
      </c>
    </row>
    <row r="140" spans="1:5" s="27" customFormat="1" ht="69.75">
      <c r="A140" s="21"/>
      <c r="B140" s="2" t="s">
        <v>636</v>
      </c>
      <c r="C140" s="5">
        <f>151.37+(151.37*5/100)</f>
        <v>158.9385</v>
      </c>
      <c r="D140" s="5" t="s">
        <v>104</v>
      </c>
      <c r="E140" s="5">
        <f t="shared" si="5"/>
        <v>158.9385</v>
      </c>
    </row>
    <row r="141" spans="1:5" s="27" customFormat="1" ht="69.75">
      <c r="A141" s="21"/>
      <c r="B141" s="2" t="s">
        <v>637</v>
      </c>
      <c r="C141" s="5">
        <f>156.58+(156.58*5/100)</f>
        <v>164.40900000000002</v>
      </c>
      <c r="D141" s="5" t="s">
        <v>104</v>
      </c>
      <c r="E141" s="5">
        <f t="shared" si="5"/>
        <v>164.40900000000002</v>
      </c>
    </row>
    <row r="142" spans="1:5" s="27" customFormat="1" ht="69.75">
      <c r="A142" s="21"/>
      <c r="B142" s="2" t="s">
        <v>638</v>
      </c>
      <c r="C142" s="5">
        <f>156.58+(156.58*5/100)</f>
        <v>164.40900000000002</v>
      </c>
      <c r="D142" s="5" t="s">
        <v>104</v>
      </c>
      <c r="E142" s="5">
        <f t="shared" si="5"/>
        <v>164.40900000000002</v>
      </c>
    </row>
    <row r="143" spans="1:5" s="27" customFormat="1" ht="23.25">
      <c r="A143" s="21"/>
      <c r="B143" s="2" t="s">
        <v>190</v>
      </c>
      <c r="C143" s="5">
        <f>55.75+(55.75*5/100)</f>
        <v>58.5375</v>
      </c>
      <c r="D143" s="5" t="s">
        <v>104</v>
      </c>
      <c r="E143" s="5">
        <f t="shared" si="5"/>
        <v>58.5375</v>
      </c>
    </row>
    <row r="144" spans="1:5" s="24" customFormat="1" ht="26.25">
      <c r="A144" s="21"/>
      <c r="B144" s="2" t="s">
        <v>584</v>
      </c>
      <c r="C144" s="5">
        <f>32.64+(32.64*5/100)</f>
        <v>34.272</v>
      </c>
      <c r="D144" s="5" t="s">
        <v>104</v>
      </c>
      <c r="E144" s="5">
        <f t="shared" si="5"/>
        <v>34.272</v>
      </c>
    </row>
    <row r="145" spans="1:5" s="24" customFormat="1" ht="26.25">
      <c r="A145" s="21" t="s">
        <v>443</v>
      </c>
      <c r="B145" s="2" t="s">
        <v>604</v>
      </c>
      <c r="C145" s="5">
        <f>1.55+(1.55*5/100)</f>
        <v>1.6275</v>
      </c>
      <c r="D145" s="5">
        <v>0.36</v>
      </c>
      <c r="E145" s="5">
        <f>C145+D145</f>
        <v>1.9874999999999998</v>
      </c>
    </row>
    <row r="146" spans="1:5" s="27" customFormat="1" ht="26.25">
      <c r="A146" s="49" t="s">
        <v>201</v>
      </c>
      <c r="B146" s="49"/>
      <c r="C146" s="49"/>
      <c r="D146" s="49"/>
      <c r="E146" s="49"/>
    </row>
    <row r="147" spans="1:5" s="27" customFormat="1" ht="46.5">
      <c r="A147" s="21" t="s">
        <v>202</v>
      </c>
      <c r="B147" s="2" t="s">
        <v>972</v>
      </c>
      <c r="C147" s="5"/>
      <c r="D147" s="6"/>
      <c r="E147" s="5"/>
    </row>
    <row r="148" spans="1:5" s="27" customFormat="1" ht="23.25">
      <c r="A148" s="21" t="s">
        <v>116</v>
      </c>
      <c r="B148" s="2" t="s">
        <v>339</v>
      </c>
      <c r="C148" s="5"/>
      <c r="D148" s="6"/>
      <c r="E148" s="5"/>
    </row>
    <row r="149" spans="1:5" s="27" customFormat="1" ht="69.75">
      <c r="A149" s="21" t="s">
        <v>973</v>
      </c>
      <c r="B149" s="2" t="s">
        <v>340</v>
      </c>
      <c r="C149" s="5">
        <f>1.78+(1.78*5/100)</f>
        <v>1.869</v>
      </c>
      <c r="D149" s="5" t="s">
        <v>104</v>
      </c>
      <c r="E149" s="5">
        <f>C149</f>
        <v>1.869</v>
      </c>
    </row>
    <row r="150" spans="1:5" s="27" customFormat="1" ht="23.25">
      <c r="A150" s="21" t="s">
        <v>121</v>
      </c>
      <c r="B150" s="2" t="s">
        <v>341</v>
      </c>
      <c r="C150" s="5"/>
      <c r="D150" s="5"/>
      <c r="E150" s="5"/>
    </row>
    <row r="151" spans="1:5" s="27" customFormat="1" ht="46.5">
      <c r="A151" s="21" t="s">
        <v>974</v>
      </c>
      <c r="B151" s="2" t="s">
        <v>975</v>
      </c>
      <c r="C151" s="5">
        <f>36.7+(36.7*5/100)</f>
        <v>38.535000000000004</v>
      </c>
      <c r="D151" s="5" t="s">
        <v>104</v>
      </c>
      <c r="E151" s="5">
        <f>C151</f>
        <v>38.535000000000004</v>
      </c>
    </row>
    <row r="152" spans="1:5" s="27" customFormat="1" ht="46.5">
      <c r="A152" s="21" t="s">
        <v>976</v>
      </c>
      <c r="B152" s="2" t="s">
        <v>559</v>
      </c>
      <c r="C152" s="5">
        <f>42.59+(42.59*5/100)</f>
        <v>44.719500000000004</v>
      </c>
      <c r="D152" s="5" t="s">
        <v>104</v>
      </c>
      <c r="E152" s="5">
        <f aca="true" t="shared" si="6" ref="E152:E157">C152</f>
        <v>44.719500000000004</v>
      </c>
    </row>
    <row r="153" spans="1:5" s="27" customFormat="1" ht="69.75">
      <c r="A153" s="21" t="s">
        <v>977</v>
      </c>
      <c r="B153" s="2" t="s">
        <v>560</v>
      </c>
      <c r="C153" s="5">
        <f>34.59+(34.59*5/100)</f>
        <v>36.319500000000005</v>
      </c>
      <c r="D153" s="5" t="s">
        <v>104</v>
      </c>
      <c r="E153" s="5">
        <f t="shared" si="6"/>
        <v>36.319500000000005</v>
      </c>
    </row>
    <row r="154" spans="1:5" s="27" customFormat="1" ht="46.5">
      <c r="A154" s="21" t="s">
        <v>978</v>
      </c>
      <c r="B154" s="2" t="s">
        <v>561</v>
      </c>
      <c r="C154" s="5">
        <f>83.36+(83.36*5/100)</f>
        <v>87.528</v>
      </c>
      <c r="D154" s="5" t="s">
        <v>104</v>
      </c>
      <c r="E154" s="5">
        <f t="shared" si="6"/>
        <v>87.528</v>
      </c>
    </row>
    <row r="155" spans="1:5" s="27" customFormat="1" ht="46.5">
      <c r="A155" s="21" t="s">
        <v>979</v>
      </c>
      <c r="B155" s="2" t="s">
        <v>456</v>
      </c>
      <c r="C155" s="5">
        <f>22.98+(22.98*5/100)</f>
        <v>24.129</v>
      </c>
      <c r="D155" s="5" t="s">
        <v>104</v>
      </c>
      <c r="E155" s="5">
        <f t="shared" si="6"/>
        <v>24.129</v>
      </c>
    </row>
    <row r="156" spans="1:5" s="27" customFormat="1" ht="46.5">
      <c r="A156" s="21" t="s">
        <v>980</v>
      </c>
      <c r="B156" s="2" t="s">
        <v>457</v>
      </c>
      <c r="C156" s="5">
        <f>22.98+(22.98*5/100)</f>
        <v>24.129</v>
      </c>
      <c r="D156" s="5" t="s">
        <v>104</v>
      </c>
      <c r="E156" s="5">
        <f t="shared" si="6"/>
        <v>24.129</v>
      </c>
    </row>
    <row r="157" spans="1:5" s="27" customFormat="1" ht="46.5">
      <c r="A157" s="21" t="s">
        <v>981</v>
      </c>
      <c r="B157" s="2" t="s">
        <v>458</v>
      </c>
      <c r="C157" s="5">
        <f>38.65+(38.65*5/100)</f>
        <v>40.582499999999996</v>
      </c>
      <c r="D157" s="5" t="s">
        <v>104</v>
      </c>
      <c r="E157" s="5">
        <f t="shared" si="6"/>
        <v>40.582499999999996</v>
      </c>
    </row>
    <row r="158" spans="1:5" s="27" customFormat="1" ht="46.5">
      <c r="A158" s="21" t="s">
        <v>123</v>
      </c>
      <c r="B158" s="2" t="s">
        <v>1082</v>
      </c>
      <c r="C158" s="5"/>
      <c r="D158" s="5"/>
      <c r="E158" s="5"/>
    </row>
    <row r="159" spans="1:5" s="27" customFormat="1" ht="46.5">
      <c r="A159" s="21" t="s">
        <v>982</v>
      </c>
      <c r="B159" s="2" t="s">
        <v>983</v>
      </c>
      <c r="C159" s="5">
        <f>15.95+(15.95*5/100)</f>
        <v>16.7475</v>
      </c>
      <c r="D159" s="5" t="s">
        <v>104</v>
      </c>
      <c r="E159" s="5">
        <f>C159</f>
        <v>16.7475</v>
      </c>
    </row>
    <row r="160" spans="1:5" s="27" customFormat="1" ht="46.5">
      <c r="A160" s="21" t="s">
        <v>548</v>
      </c>
      <c r="B160" s="2" t="s">
        <v>1083</v>
      </c>
      <c r="C160" s="5">
        <f>26.58+(26.58*5/100)</f>
        <v>27.909</v>
      </c>
      <c r="D160" s="5" t="s">
        <v>104</v>
      </c>
      <c r="E160" s="5">
        <f>C160</f>
        <v>27.909</v>
      </c>
    </row>
    <row r="161" spans="1:5" s="27" customFormat="1" ht="46.5">
      <c r="A161" s="21" t="s">
        <v>549</v>
      </c>
      <c r="B161" s="2" t="s">
        <v>99</v>
      </c>
      <c r="C161" s="5"/>
      <c r="D161" s="5"/>
      <c r="E161" s="5"/>
    </row>
    <row r="162" spans="1:5" s="27" customFormat="1" ht="69.75">
      <c r="A162" s="21" t="s">
        <v>550</v>
      </c>
      <c r="B162" s="2" t="s">
        <v>551</v>
      </c>
      <c r="C162" s="5">
        <f>83.36+(83.36*5/100)</f>
        <v>87.528</v>
      </c>
      <c r="D162" s="5" t="s">
        <v>104</v>
      </c>
      <c r="E162" s="5">
        <f>C162</f>
        <v>87.528</v>
      </c>
    </row>
    <row r="163" spans="1:5" s="27" customFormat="1" ht="46.5">
      <c r="A163" s="21" t="s">
        <v>552</v>
      </c>
      <c r="B163" s="2" t="s">
        <v>105</v>
      </c>
      <c r="C163" s="5"/>
      <c r="D163" s="5"/>
      <c r="E163" s="5"/>
    </row>
    <row r="164" spans="1:5" s="27" customFormat="1" ht="46.5">
      <c r="A164" s="21" t="s">
        <v>553</v>
      </c>
      <c r="B164" s="2" t="s">
        <v>554</v>
      </c>
      <c r="C164" s="5">
        <f>1.92+(1.92*5/100)</f>
        <v>2.016</v>
      </c>
      <c r="D164" s="5" t="s">
        <v>104</v>
      </c>
      <c r="E164" s="5">
        <f>C164</f>
        <v>2.016</v>
      </c>
    </row>
    <row r="165" spans="1:5" s="27" customFormat="1" ht="46.5">
      <c r="A165" s="21" t="s">
        <v>555</v>
      </c>
      <c r="B165" s="2" t="s">
        <v>106</v>
      </c>
      <c r="C165" s="5">
        <f>0.96+(0.96*5/100)</f>
        <v>1.008</v>
      </c>
      <c r="D165" s="5" t="s">
        <v>104</v>
      </c>
      <c r="E165" s="5">
        <f>C165</f>
        <v>1.008</v>
      </c>
    </row>
    <row r="166" spans="1:5" s="27" customFormat="1" ht="46.5">
      <c r="A166" s="21" t="s">
        <v>556</v>
      </c>
      <c r="B166" s="2" t="s">
        <v>98</v>
      </c>
      <c r="C166" s="5">
        <f>21.29+(21.29*5/100)</f>
        <v>22.354499999999998</v>
      </c>
      <c r="D166" s="5" t="s">
        <v>104</v>
      </c>
      <c r="E166" s="5">
        <f>C166</f>
        <v>22.354499999999998</v>
      </c>
    </row>
    <row r="167" spans="1:5" s="27" customFormat="1" ht="23.25">
      <c r="A167" s="21" t="s">
        <v>557</v>
      </c>
      <c r="B167" s="2" t="s">
        <v>558</v>
      </c>
      <c r="C167" s="5"/>
      <c r="D167" s="5"/>
      <c r="E167" s="5"/>
    </row>
    <row r="168" spans="1:5" s="27" customFormat="1" ht="23.25">
      <c r="A168" s="21" t="s">
        <v>127</v>
      </c>
      <c r="B168" s="2" t="s">
        <v>336</v>
      </c>
      <c r="C168" s="5">
        <f>1.92+(1.92*5/100)</f>
        <v>2.016</v>
      </c>
      <c r="D168" s="5">
        <v>0.01</v>
      </c>
      <c r="E168" s="5">
        <f>C168+D168</f>
        <v>2.026</v>
      </c>
    </row>
    <row r="169" spans="1:5" s="27" customFormat="1" ht="45.75" customHeight="1">
      <c r="A169" s="21" t="s">
        <v>129</v>
      </c>
      <c r="B169" s="2" t="s">
        <v>371</v>
      </c>
      <c r="C169" s="5">
        <f>8.29+(8.29*5/100)</f>
        <v>8.7045</v>
      </c>
      <c r="D169" s="5" t="s">
        <v>104</v>
      </c>
      <c r="E169" s="5">
        <f>C169</f>
        <v>8.7045</v>
      </c>
    </row>
    <row r="170" spans="1:5" s="27" customFormat="1" ht="23.25">
      <c r="A170" s="21"/>
      <c r="B170" s="2" t="s">
        <v>1133</v>
      </c>
      <c r="C170" s="5">
        <f>14.24+(14.24*5/100)</f>
        <v>14.952</v>
      </c>
      <c r="D170" s="5" t="s">
        <v>104</v>
      </c>
      <c r="E170" s="5">
        <f>C170</f>
        <v>14.952</v>
      </c>
    </row>
    <row r="171" spans="1:5" s="27" customFormat="1" ht="23.25">
      <c r="A171" s="21"/>
      <c r="B171" s="2" t="s">
        <v>1134</v>
      </c>
      <c r="C171" s="5"/>
      <c r="D171" s="5"/>
      <c r="E171" s="5"/>
    </row>
    <row r="172" spans="1:5" s="27" customFormat="1" ht="75" customHeight="1">
      <c r="A172" s="21"/>
      <c r="B172" s="2" t="s">
        <v>1135</v>
      </c>
      <c r="C172" s="5">
        <f>7.34+(7.34*5/100)</f>
        <v>7.707</v>
      </c>
      <c r="D172" s="5" t="s">
        <v>104</v>
      </c>
      <c r="E172" s="5">
        <f>C172</f>
        <v>7.707</v>
      </c>
    </row>
    <row r="173" spans="1:5" s="27" customFormat="1" ht="71.25" customHeight="1">
      <c r="A173" s="21"/>
      <c r="B173" s="2" t="s">
        <v>1136</v>
      </c>
      <c r="C173" s="5">
        <f>8.39+(8.39*5/100)</f>
        <v>8.8095</v>
      </c>
      <c r="D173" s="5" t="s">
        <v>104</v>
      </c>
      <c r="E173" s="5">
        <f aca="true" t="shared" si="7" ref="E173:E182">C173</f>
        <v>8.8095</v>
      </c>
    </row>
    <row r="174" spans="1:5" s="27" customFormat="1" ht="75" customHeight="1">
      <c r="A174" s="21"/>
      <c r="B174" s="2" t="s">
        <v>1137</v>
      </c>
      <c r="C174" s="5">
        <f>16.36+(16.36*5/100)</f>
        <v>17.178</v>
      </c>
      <c r="D174" s="5" t="s">
        <v>104</v>
      </c>
      <c r="E174" s="5">
        <f t="shared" si="7"/>
        <v>17.178</v>
      </c>
    </row>
    <row r="175" spans="1:5" s="27" customFormat="1" ht="69.75">
      <c r="A175" s="21"/>
      <c r="B175" s="2" t="s">
        <v>1138</v>
      </c>
      <c r="C175" s="5">
        <f>18.2+(18.2*5/100)</f>
        <v>19.11</v>
      </c>
      <c r="D175" s="5" t="s">
        <v>104</v>
      </c>
      <c r="E175" s="5">
        <f t="shared" si="7"/>
        <v>19.11</v>
      </c>
    </row>
    <row r="176" spans="1:5" s="27" customFormat="1" ht="46.5">
      <c r="A176" s="21"/>
      <c r="B176" s="2" t="s">
        <v>1139</v>
      </c>
      <c r="C176" s="5">
        <f>7.34+(7.34*5/100)</f>
        <v>7.707</v>
      </c>
      <c r="D176" s="5" t="s">
        <v>104</v>
      </c>
      <c r="E176" s="5">
        <f t="shared" si="7"/>
        <v>7.707</v>
      </c>
    </row>
    <row r="177" spans="1:5" s="27" customFormat="1" ht="46.5">
      <c r="A177" s="21"/>
      <c r="B177" s="2" t="s">
        <v>1140</v>
      </c>
      <c r="C177" s="5">
        <f>8.39+(8.39*5/100)</f>
        <v>8.8095</v>
      </c>
      <c r="D177" s="5" t="s">
        <v>104</v>
      </c>
      <c r="E177" s="5">
        <f t="shared" si="7"/>
        <v>8.8095</v>
      </c>
    </row>
    <row r="178" spans="1:5" s="27" customFormat="1" ht="46.5">
      <c r="A178" s="21"/>
      <c r="B178" s="2" t="s">
        <v>1141</v>
      </c>
      <c r="C178" s="5">
        <f>8.04+(8.04*5/100)</f>
        <v>8.441999999999998</v>
      </c>
      <c r="D178" s="5" t="s">
        <v>104</v>
      </c>
      <c r="E178" s="5">
        <f t="shared" si="7"/>
        <v>8.441999999999998</v>
      </c>
    </row>
    <row r="179" spans="1:5" s="27" customFormat="1" ht="46.5">
      <c r="A179" s="21"/>
      <c r="B179" s="2" t="s">
        <v>1142</v>
      </c>
      <c r="C179" s="5">
        <f>16.07+(16.07*5/100)</f>
        <v>16.8735</v>
      </c>
      <c r="D179" s="5" t="s">
        <v>104</v>
      </c>
      <c r="E179" s="5">
        <f t="shared" si="7"/>
        <v>16.8735</v>
      </c>
    </row>
    <row r="180" spans="1:5" s="27" customFormat="1" ht="46.5">
      <c r="A180" s="21"/>
      <c r="B180" s="2" t="s">
        <v>1143</v>
      </c>
      <c r="C180" s="5">
        <f>8.04+(8.04*5/100)</f>
        <v>8.441999999999998</v>
      </c>
      <c r="D180" s="5" t="s">
        <v>104</v>
      </c>
      <c r="E180" s="5">
        <f t="shared" si="7"/>
        <v>8.441999999999998</v>
      </c>
    </row>
    <row r="181" spans="1:5" s="27" customFormat="1" ht="69.75">
      <c r="A181" s="21"/>
      <c r="B181" s="2" t="s">
        <v>1144</v>
      </c>
      <c r="C181" s="5">
        <f>16.07+(16.07*5/100)</f>
        <v>16.8735</v>
      </c>
      <c r="D181" s="5" t="s">
        <v>104</v>
      </c>
      <c r="E181" s="5">
        <f t="shared" si="7"/>
        <v>16.8735</v>
      </c>
    </row>
    <row r="182" spans="1:5" s="24" customFormat="1" ht="46.5">
      <c r="A182" s="21"/>
      <c r="B182" s="2" t="s">
        <v>1145</v>
      </c>
      <c r="C182" s="5">
        <f>5.75+(5.75*5/100)</f>
        <v>6.0375</v>
      </c>
      <c r="D182" s="5" t="s">
        <v>104</v>
      </c>
      <c r="E182" s="5">
        <f t="shared" si="7"/>
        <v>6.0375</v>
      </c>
    </row>
    <row r="183" spans="1:5" s="24" customFormat="1" ht="46.5">
      <c r="A183" s="21"/>
      <c r="B183" s="14" t="s">
        <v>605</v>
      </c>
      <c r="C183" s="5">
        <f>2.11+(2.11*5/100)</f>
        <v>2.2155</v>
      </c>
      <c r="D183" s="5" t="s">
        <v>104</v>
      </c>
      <c r="E183" s="5">
        <f>C183</f>
        <v>2.2155</v>
      </c>
    </row>
    <row r="184" spans="1:5" s="24" customFormat="1" ht="46.5">
      <c r="A184" s="21"/>
      <c r="B184" s="14" t="s">
        <v>606</v>
      </c>
      <c r="C184" s="5">
        <f>1.82+(1.82*5/100)</f>
        <v>1.911</v>
      </c>
      <c r="D184" s="5" t="s">
        <v>104</v>
      </c>
      <c r="E184" s="5">
        <f>C184</f>
        <v>1.911</v>
      </c>
    </row>
    <row r="185" spans="1:5" s="24" customFormat="1" ht="46.5">
      <c r="A185" s="21"/>
      <c r="B185" s="2" t="s">
        <v>1142</v>
      </c>
      <c r="C185" s="5">
        <f>3.21+(3.21*5/100)</f>
        <v>3.3705</v>
      </c>
      <c r="D185" s="5" t="s">
        <v>104</v>
      </c>
      <c r="E185" s="5">
        <f>C185</f>
        <v>3.3705</v>
      </c>
    </row>
    <row r="186" spans="1:5" s="24" customFormat="1" ht="69.75">
      <c r="A186" s="21"/>
      <c r="B186" s="2" t="s">
        <v>1144</v>
      </c>
      <c r="C186" s="5">
        <f>3.21+(3.21*5/100)</f>
        <v>3.3705</v>
      </c>
      <c r="D186" s="5" t="s">
        <v>104</v>
      </c>
      <c r="E186" s="5">
        <f>C186</f>
        <v>3.3705</v>
      </c>
    </row>
    <row r="187" spans="1:5" s="27" customFormat="1" ht="26.25">
      <c r="A187" s="49" t="s">
        <v>372</v>
      </c>
      <c r="B187" s="49"/>
      <c r="C187" s="49"/>
      <c r="D187" s="49"/>
      <c r="E187" s="49"/>
    </row>
    <row r="188" spans="1:5" s="27" customFormat="1" ht="23.25">
      <c r="A188" s="25"/>
      <c r="B188" s="2" t="s">
        <v>639</v>
      </c>
      <c r="C188" s="26">
        <f>1.79+(1.79*5/100)</f>
        <v>1.8795</v>
      </c>
      <c r="D188" s="26" t="s">
        <v>104</v>
      </c>
      <c r="E188" s="26">
        <f aca="true" t="shared" si="8" ref="E188:E200">C188</f>
        <v>1.8795</v>
      </c>
    </row>
    <row r="189" spans="1:5" s="27" customFormat="1" ht="23.25">
      <c r="A189" s="21" t="s">
        <v>129</v>
      </c>
      <c r="B189" s="2" t="s">
        <v>188</v>
      </c>
      <c r="C189" s="5">
        <f>1.82+(1.82*5/100)</f>
        <v>1.911</v>
      </c>
      <c r="D189" s="5" t="s">
        <v>104</v>
      </c>
      <c r="E189" s="5">
        <f t="shared" si="8"/>
        <v>1.911</v>
      </c>
    </row>
    <row r="190" spans="1:5" s="27" customFormat="1" ht="23.25">
      <c r="A190" s="21" t="s">
        <v>217</v>
      </c>
      <c r="B190" s="2" t="s">
        <v>640</v>
      </c>
      <c r="C190" s="5">
        <f>1.79+(1.79*5/100)</f>
        <v>1.8795</v>
      </c>
      <c r="D190" s="5" t="s">
        <v>104</v>
      </c>
      <c r="E190" s="5">
        <f t="shared" si="8"/>
        <v>1.8795</v>
      </c>
    </row>
    <row r="191" spans="1:5" s="27" customFormat="1" ht="23.25">
      <c r="A191" s="21"/>
      <c r="B191" s="2" t="s">
        <v>641</v>
      </c>
      <c r="C191" s="5">
        <f>1.79+(1.79*5/100)</f>
        <v>1.8795</v>
      </c>
      <c r="D191" s="5" t="s">
        <v>104</v>
      </c>
      <c r="E191" s="5">
        <f t="shared" si="8"/>
        <v>1.8795</v>
      </c>
    </row>
    <row r="192" spans="1:5" s="27" customFormat="1" ht="23.25">
      <c r="A192" s="21"/>
      <c r="B192" s="2" t="s">
        <v>642</v>
      </c>
      <c r="C192" s="5">
        <f>1.64+(1.64*5/100)</f>
        <v>1.722</v>
      </c>
      <c r="D192" s="5" t="s">
        <v>104</v>
      </c>
      <c r="E192" s="5">
        <f t="shared" si="8"/>
        <v>1.722</v>
      </c>
    </row>
    <row r="193" spans="1:5" s="27" customFormat="1" ht="23.25">
      <c r="A193" s="21"/>
      <c r="B193" s="2" t="s">
        <v>643</v>
      </c>
      <c r="C193" s="5">
        <f>1.64+(1.64*5/100)</f>
        <v>1.722</v>
      </c>
      <c r="D193" s="5" t="s">
        <v>104</v>
      </c>
      <c r="E193" s="5">
        <f t="shared" si="8"/>
        <v>1.722</v>
      </c>
    </row>
    <row r="194" spans="1:5" s="27" customFormat="1" ht="23.25">
      <c r="A194" s="21"/>
      <c r="B194" s="2" t="s">
        <v>644</v>
      </c>
      <c r="C194" s="5">
        <f>1.64+(1.64*5/100)</f>
        <v>1.722</v>
      </c>
      <c r="D194" s="5" t="s">
        <v>104</v>
      </c>
      <c r="E194" s="5">
        <f t="shared" si="8"/>
        <v>1.722</v>
      </c>
    </row>
    <row r="195" spans="1:5" s="27" customFormat="1" ht="23.25">
      <c r="A195" s="21"/>
      <c r="B195" s="2" t="s">
        <v>645</v>
      </c>
      <c r="C195" s="5">
        <f>2.79+(2.79*5/100)</f>
        <v>2.9295</v>
      </c>
      <c r="D195" s="5" t="s">
        <v>104</v>
      </c>
      <c r="E195" s="5">
        <f t="shared" si="8"/>
        <v>2.9295</v>
      </c>
    </row>
    <row r="196" spans="1:5" s="27" customFormat="1" ht="23.25">
      <c r="A196" s="21"/>
      <c r="B196" s="2" t="s">
        <v>646</v>
      </c>
      <c r="C196" s="5">
        <f>1.08+(1.08*5/100)</f>
        <v>1.1340000000000001</v>
      </c>
      <c r="D196" s="5" t="s">
        <v>104</v>
      </c>
      <c r="E196" s="5">
        <f t="shared" si="8"/>
        <v>1.1340000000000001</v>
      </c>
    </row>
    <row r="197" spans="1:5" s="27" customFormat="1" ht="23.25">
      <c r="A197" s="21"/>
      <c r="B197" s="2" t="s">
        <v>647</v>
      </c>
      <c r="C197" s="5">
        <f>4.62+(4.62*5/100)</f>
        <v>4.851</v>
      </c>
      <c r="D197" s="5" t="s">
        <v>104</v>
      </c>
      <c r="E197" s="5">
        <f t="shared" si="8"/>
        <v>4.851</v>
      </c>
    </row>
    <row r="198" spans="1:5" s="27" customFormat="1" ht="23.25">
      <c r="A198" s="21"/>
      <c r="B198" s="2" t="s">
        <v>648</v>
      </c>
      <c r="C198" s="5">
        <f>6.3+(6.3*5/100)</f>
        <v>6.615</v>
      </c>
      <c r="D198" s="5" t="s">
        <v>104</v>
      </c>
      <c r="E198" s="5">
        <f t="shared" si="8"/>
        <v>6.615</v>
      </c>
    </row>
    <row r="199" spans="1:5" s="27" customFormat="1" ht="23.25">
      <c r="A199" s="21"/>
      <c r="B199" s="2" t="s">
        <v>649</v>
      </c>
      <c r="C199" s="5">
        <f>25.67+(25.67*5/100)</f>
        <v>26.953500000000002</v>
      </c>
      <c r="D199" s="5" t="s">
        <v>104</v>
      </c>
      <c r="E199" s="5">
        <f t="shared" si="8"/>
        <v>26.953500000000002</v>
      </c>
    </row>
    <row r="200" spans="1:5" s="24" customFormat="1" ht="26.25">
      <c r="A200" s="21"/>
      <c r="B200" s="2" t="s">
        <v>1008</v>
      </c>
      <c r="C200" s="5">
        <f>13.43+(13.43*5/100)</f>
        <v>14.1015</v>
      </c>
      <c r="D200" s="5" t="s">
        <v>104</v>
      </c>
      <c r="E200" s="5">
        <f t="shared" si="8"/>
        <v>14.1015</v>
      </c>
    </row>
    <row r="201" spans="1:5" s="27" customFormat="1" ht="26.25">
      <c r="A201" s="49" t="s">
        <v>510</v>
      </c>
      <c r="B201" s="49"/>
      <c r="C201" s="49"/>
      <c r="D201" s="49"/>
      <c r="E201" s="49"/>
    </row>
    <row r="202" spans="1:5" s="27" customFormat="1" ht="24" customHeight="1">
      <c r="A202" s="21" t="s">
        <v>202</v>
      </c>
      <c r="B202" s="2" t="s">
        <v>1076</v>
      </c>
      <c r="C202" s="5"/>
      <c r="D202" s="6"/>
      <c r="E202" s="5"/>
    </row>
    <row r="203" spans="1:5" s="27" customFormat="1" ht="24" customHeight="1">
      <c r="A203" s="21" t="s">
        <v>1077</v>
      </c>
      <c r="B203" s="2" t="s">
        <v>1078</v>
      </c>
      <c r="C203" s="7">
        <f>0.82+(0.82*5/100)</f>
        <v>0.861</v>
      </c>
      <c r="D203" s="7" t="s">
        <v>104</v>
      </c>
      <c r="E203" s="7">
        <f aca="true" t="shared" si="9" ref="E203:E210">C203</f>
        <v>0.861</v>
      </c>
    </row>
    <row r="204" spans="1:5" s="27" customFormat="1" ht="24" customHeight="1">
      <c r="A204" s="21" t="s">
        <v>996</v>
      </c>
      <c r="B204" s="2" t="s">
        <v>997</v>
      </c>
      <c r="C204" s="7">
        <f>1.65+(1.65*5/100)</f>
        <v>1.7325</v>
      </c>
      <c r="D204" s="7" t="s">
        <v>104</v>
      </c>
      <c r="E204" s="7">
        <f t="shared" si="9"/>
        <v>1.7325</v>
      </c>
    </row>
    <row r="205" spans="1:5" s="27" customFormat="1" ht="24" customHeight="1">
      <c r="A205" s="21" t="s">
        <v>998</v>
      </c>
      <c r="B205" s="2" t="s">
        <v>1000</v>
      </c>
      <c r="C205" s="7">
        <f>2.47+(2.47*5/100)</f>
        <v>2.5935</v>
      </c>
      <c r="D205" s="7" t="s">
        <v>104</v>
      </c>
      <c r="E205" s="7">
        <f t="shared" si="9"/>
        <v>2.5935</v>
      </c>
    </row>
    <row r="206" spans="1:5" s="27" customFormat="1" ht="24" customHeight="1">
      <c r="A206" s="21" t="s">
        <v>999</v>
      </c>
      <c r="B206" s="2" t="s">
        <v>1001</v>
      </c>
      <c r="C206" s="7">
        <f>3.09+(3.09*5/100)</f>
        <v>3.2445</v>
      </c>
      <c r="D206" s="7" t="s">
        <v>104</v>
      </c>
      <c r="E206" s="7">
        <f t="shared" si="9"/>
        <v>3.2445</v>
      </c>
    </row>
    <row r="207" spans="1:5" s="27" customFormat="1" ht="24" customHeight="1">
      <c r="A207" s="21" t="s">
        <v>1002</v>
      </c>
      <c r="B207" s="2" t="s">
        <v>1003</v>
      </c>
      <c r="C207" s="7">
        <f>1.23+(1.23*5/100)</f>
        <v>1.2915</v>
      </c>
      <c r="D207" s="7" t="s">
        <v>104</v>
      </c>
      <c r="E207" s="7">
        <f t="shared" si="9"/>
        <v>1.2915</v>
      </c>
    </row>
    <row r="208" spans="1:5" s="27" customFormat="1" ht="22.5" customHeight="1">
      <c r="A208" s="21" t="s">
        <v>1004</v>
      </c>
      <c r="B208" s="2" t="s">
        <v>1005</v>
      </c>
      <c r="C208" s="7">
        <f>1.65+(1.65*5/100)</f>
        <v>1.7325</v>
      </c>
      <c r="D208" s="7" t="s">
        <v>104</v>
      </c>
      <c r="E208" s="7">
        <f t="shared" si="9"/>
        <v>1.7325</v>
      </c>
    </row>
    <row r="209" spans="1:5" s="27" customFormat="1" ht="23.25">
      <c r="A209" s="21" t="s">
        <v>1079</v>
      </c>
      <c r="B209" s="2" t="s">
        <v>1080</v>
      </c>
      <c r="C209" s="7">
        <f>1.65+(1.65*5/100)</f>
        <v>1.7325</v>
      </c>
      <c r="D209" s="7" t="s">
        <v>104</v>
      </c>
      <c r="E209" s="7">
        <f t="shared" si="9"/>
        <v>1.7325</v>
      </c>
    </row>
    <row r="210" spans="1:5" s="27" customFormat="1" ht="47.25" customHeight="1">
      <c r="A210" s="21" t="s">
        <v>337</v>
      </c>
      <c r="B210" s="2" t="s">
        <v>338</v>
      </c>
      <c r="C210" s="7">
        <f>0.82+(0.82*5/100)</f>
        <v>0.861</v>
      </c>
      <c r="D210" s="7" t="s">
        <v>104</v>
      </c>
      <c r="E210" s="7">
        <f t="shared" si="9"/>
        <v>0.861</v>
      </c>
    </row>
    <row r="211" spans="1:5" s="27" customFormat="1" ht="24" customHeight="1">
      <c r="A211" s="21" t="s">
        <v>557</v>
      </c>
      <c r="B211" s="2" t="s">
        <v>1081</v>
      </c>
      <c r="C211" s="7" t="s">
        <v>989</v>
      </c>
      <c r="D211" s="7"/>
      <c r="E211" s="7" t="s">
        <v>989</v>
      </c>
    </row>
    <row r="212" spans="1:5" s="27" customFormat="1" ht="24" customHeight="1">
      <c r="A212" s="21" t="s">
        <v>991</v>
      </c>
      <c r="B212" s="2" t="s">
        <v>49</v>
      </c>
      <c r="C212" s="7">
        <f>0.68+(0.68*5/100)</f>
        <v>0.7140000000000001</v>
      </c>
      <c r="D212" s="7" t="s">
        <v>104</v>
      </c>
      <c r="E212" s="7">
        <f aca="true" t="shared" si="10" ref="E212:E220">C212</f>
        <v>0.7140000000000001</v>
      </c>
    </row>
    <row r="213" spans="1:5" s="27" customFormat="1" ht="23.25">
      <c r="A213" s="21" t="s">
        <v>1176</v>
      </c>
      <c r="B213" s="2" t="s">
        <v>1177</v>
      </c>
      <c r="C213" s="7">
        <f>0.77+(0.77*5/100)</f>
        <v>0.8085</v>
      </c>
      <c r="D213" s="7" t="s">
        <v>104</v>
      </c>
      <c r="E213" s="7">
        <f t="shared" si="10"/>
        <v>0.8085</v>
      </c>
    </row>
    <row r="214" spans="1:5" s="27" customFormat="1" ht="72.75" customHeight="1">
      <c r="A214" s="21" t="s">
        <v>992</v>
      </c>
      <c r="B214" s="2" t="s">
        <v>50</v>
      </c>
      <c r="C214" s="7">
        <f>1.46+(1.46*5/100)</f>
        <v>1.533</v>
      </c>
      <c r="D214" s="7" t="s">
        <v>104</v>
      </c>
      <c r="E214" s="7">
        <f t="shared" si="10"/>
        <v>1.533</v>
      </c>
    </row>
    <row r="215" spans="1:5" s="27" customFormat="1" ht="45" customHeight="1">
      <c r="A215" s="21" t="s">
        <v>993</v>
      </c>
      <c r="B215" s="2" t="s">
        <v>51</v>
      </c>
      <c r="C215" s="7">
        <f>1.36+(1.36*5/100)</f>
        <v>1.4280000000000002</v>
      </c>
      <c r="D215" s="7" t="s">
        <v>104</v>
      </c>
      <c r="E215" s="7">
        <f t="shared" si="10"/>
        <v>1.4280000000000002</v>
      </c>
    </row>
    <row r="216" spans="1:5" s="27" customFormat="1" ht="46.5" customHeight="1">
      <c r="A216" s="21" t="s">
        <v>994</v>
      </c>
      <c r="B216" s="2" t="s">
        <v>52</v>
      </c>
      <c r="C216" s="7">
        <f>2.18+(2.18*5/100)</f>
        <v>2.289</v>
      </c>
      <c r="D216" s="7" t="s">
        <v>104</v>
      </c>
      <c r="E216" s="7">
        <f t="shared" si="10"/>
        <v>2.289</v>
      </c>
    </row>
    <row r="217" spans="1:5" s="27" customFormat="1" ht="24" customHeight="1">
      <c r="A217" s="21" t="s">
        <v>995</v>
      </c>
      <c r="B217" s="2" t="s">
        <v>53</v>
      </c>
      <c r="C217" s="7">
        <f>2.04+(2.04*5/100)</f>
        <v>2.142</v>
      </c>
      <c r="D217" s="7" t="s">
        <v>104</v>
      </c>
      <c r="E217" s="7">
        <f t="shared" si="10"/>
        <v>2.142</v>
      </c>
    </row>
    <row r="218" spans="1:5" s="27" customFormat="1" ht="46.5">
      <c r="A218" s="21" t="s">
        <v>1006</v>
      </c>
      <c r="B218" s="2" t="s">
        <v>1007</v>
      </c>
      <c r="C218" s="7">
        <f>1.51+(1.51*5/100)</f>
        <v>1.5855</v>
      </c>
      <c r="D218" s="7" t="s">
        <v>104</v>
      </c>
      <c r="E218" s="7">
        <f t="shared" si="10"/>
        <v>1.5855</v>
      </c>
    </row>
    <row r="219" spans="1:5" s="27" customFormat="1" ht="70.5" customHeight="1">
      <c r="A219" s="21" t="s">
        <v>562</v>
      </c>
      <c r="B219" s="2" t="s">
        <v>1174</v>
      </c>
      <c r="C219" s="5">
        <f>2.64+(2.64*5/100)</f>
        <v>2.7720000000000002</v>
      </c>
      <c r="D219" s="5" t="s">
        <v>104</v>
      </c>
      <c r="E219" s="5">
        <f t="shared" si="10"/>
        <v>2.7720000000000002</v>
      </c>
    </row>
    <row r="220" spans="1:5" s="27" customFormat="1" ht="46.5">
      <c r="A220" s="21" t="s">
        <v>563</v>
      </c>
      <c r="B220" s="2" t="s">
        <v>1175</v>
      </c>
      <c r="C220" s="5">
        <f>2.57+(2.57*5/100)</f>
        <v>2.6984999999999997</v>
      </c>
      <c r="D220" s="5" t="s">
        <v>104</v>
      </c>
      <c r="E220" s="5">
        <f t="shared" si="10"/>
        <v>2.6984999999999997</v>
      </c>
    </row>
    <row r="221" spans="1:5" s="27" customFormat="1" ht="23.25">
      <c r="A221" s="21" t="s">
        <v>1077</v>
      </c>
      <c r="B221" s="2" t="s">
        <v>1146</v>
      </c>
      <c r="C221" s="5"/>
      <c r="D221" s="5"/>
      <c r="E221" s="5"/>
    </row>
    <row r="222" spans="1:5" s="27" customFormat="1" ht="23.25">
      <c r="A222" s="21"/>
      <c r="B222" s="2" t="s">
        <v>1147</v>
      </c>
      <c r="C222" s="5">
        <f>1.65+(1.65*5/100)</f>
        <v>1.7325</v>
      </c>
      <c r="D222" s="7">
        <v>0.01</v>
      </c>
      <c r="E222" s="7">
        <f>C222+D222</f>
        <v>1.7425</v>
      </c>
    </row>
    <row r="223" spans="1:5" s="27" customFormat="1" ht="23.25">
      <c r="A223" s="21"/>
      <c r="B223" s="2" t="s">
        <v>1148</v>
      </c>
      <c r="C223" s="5">
        <f>1.69+(1.69*5/100)</f>
        <v>1.7745</v>
      </c>
      <c r="D223" s="7">
        <v>0.01</v>
      </c>
      <c r="E223" s="7">
        <f aca="true" t="shared" si="11" ref="E223:E236">C223+D223</f>
        <v>1.7845</v>
      </c>
    </row>
    <row r="224" spans="1:5" s="27" customFormat="1" ht="23.25">
      <c r="A224" s="21"/>
      <c r="B224" s="2" t="s">
        <v>1149</v>
      </c>
      <c r="C224" s="5">
        <f>1.73+(1.73*5/100)</f>
        <v>1.8165</v>
      </c>
      <c r="D224" s="7">
        <v>0.01</v>
      </c>
      <c r="E224" s="7">
        <f t="shared" si="11"/>
        <v>1.8265</v>
      </c>
    </row>
    <row r="225" spans="1:5" s="27" customFormat="1" ht="23.25">
      <c r="A225" s="21"/>
      <c r="B225" s="2" t="s">
        <v>1150</v>
      </c>
      <c r="C225" s="5">
        <f>1.77+(1.77*5/100)</f>
        <v>1.8585</v>
      </c>
      <c r="D225" s="7">
        <v>0.01</v>
      </c>
      <c r="E225" s="7">
        <f t="shared" si="11"/>
        <v>1.8685</v>
      </c>
    </row>
    <row r="226" spans="1:5" s="27" customFormat="1" ht="23.25">
      <c r="A226" s="21"/>
      <c r="B226" s="2" t="s">
        <v>1151</v>
      </c>
      <c r="C226" s="5">
        <f>1.8+(1.8*5/100)</f>
        <v>1.8900000000000001</v>
      </c>
      <c r="D226" s="7">
        <v>0.01</v>
      </c>
      <c r="E226" s="7">
        <f t="shared" si="11"/>
        <v>1.9000000000000001</v>
      </c>
    </row>
    <row r="227" spans="1:5" s="27" customFormat="1" ht="23.25">
      <c r="A227" s="21"/>
      <c r="B227" s="2" t="s">
        <v>1152</v>
      </c>
      <c r="C227" s="5">
        <f>1.86+(1.86*5/100)</f>
        <v>1.953</v>
      </c>
      <c r="D227" s="7">
        <v>0.01</v>
      </c>
      <c r="E227" s="7">
        <f t="shared" si="11"/>
        <v>1.963</v>
      </c>
    </row>
    <row r="228" spans="1:5" s="27" customFormat="1" ht="23.25">
      <c r="A228" s="21"/>
      <c r="B228" s="2" t="s">
        <v>1153</v>
      </c>
      <c r="C228" s="5">
        <f>1.91+(1.91*5/100)</f>
        <v>2.0055</v>
      </c>
      <c r="D228" s="7">
        <v>0.01</v>
      </c>
      <c r="E228" s="7">
        <f t="shared" si="11"/>
        <v>2.0155</v>
      </c>
    </row>
    <row r="229" spans="1:5" s="27" customFormat="1" ht="23.25">
      <c r="A229" s="21"/>
      <c r="B229" s="2" t="s">
        <v>1154</v>
      </c>
      <c r="C229" s="5">
        <f>1.97+(1.97*5/100)</f>
        <v>2.0685</v>
      </c>
      <c r="D229" s="7">
        <v>0.01</v>
      </c>
      <c r="E229" s="7">
        <f t="shared" si="11"/>
        <v>2.0784999999999996</v>
      </c>
    </row>
    <row r="230" spans="1:5" s="27" customFormat="1" ht="23.25">
      <c r="A230" s="21"/>
      <c r="B230" s="2" t="s">
        <v>1155</v>
      </c>
      <c r="C230" s="5">
        <f>2.02+(2.02*5/100)</f>
        <v>2.121</v>
      </c>
      <c r="D230" s="7">
        <v>0.01</v>
      </c>
      <c r="E230" s="7">
        <f t="shared" si="11"/>
        <v>2.131</v>
      </c>
    </row>
    <row r="231" spans="1:5" s="27" customFormat="1" ht="23.25">
      <c r="A231" s="21"/>
      <c r="B231" s="2" t="s">
        <v>1156</v>
      </c>
      <c r="C231" s="5">
        <f>2.08+(2.08*5/100)</f>
        <v>2.184</v>
      </c>
      <c r="D231" s="7">
        <v>0.01</v>
      </c>
      <c r="E231" s="7">
        <f t="shared" si="11"/>
        <v>2.194</v>
      </c>
    </row>
    <row r="232" spans="1:5" s="27" customFormat="1" ht="23.25">
      <c r="A232" s="21"/>
      <c r="B232" s="2" t="s">
        <v>1157</v>
      </c>
      <c r="C232" s="5">
        <f>2.13+(2.13*5/100)</f>
        <v>2.2365</v>
      </c>
      <c r="D232" s="7">
        <v>0.01</v>
      </c>
      <c r="E232" s="7">
        <f t="shared" si="11"/>
        <v>2.2464999999999997</v>
      </c>
    </row>
    <row r="233" spans="1:5" s="27" customFormat="1" ht="23.25">
      <c r="A233" s="21"/>
      <c r="B233" s="2" t="s">
        <v>1158</v>
      </c>
      <c r="C233" s="5">
        <f>2.19+(2.19*5/100)</f>
        <v>2.2995</v>
      </c>
      <c r="D233" s="7">
        <v>0.01</v>
      </c>
      <c r="E233" s="7">
        <f t="shared" si="11"/>
        <v>2.3095</v>
      </c>
    </row>
    <row r="234" spans="1:5" s="27" customFormat="1" ht="23.25">
      <c r="A234" s="21"/>
      <c r="B234" s="2" t="s">
        <v>1159</v>
      </c>
      <c r="C234" s="5">
        <f>2.24+(2.24*5/100)</f>
        <v>2.3520000000000003</v>
      </c>
      <c r="D234" s="7">
        <v>0.01</v>
      </c>
      <c r="E234" s="7">
        <f t="shared" si="11"/>
        <v>2.362</v>
      </c>
    </row>
    <row r="235" spans="1:5" s="27" customFormat="1" ht="23.25">
      <c r="A235" s="21"/>
      <c r="B235" s="2" t="s">
        <v>1160</v>
      </c>
      <c r="C235" s="5">
        <f>2.3+(2.3*5/100)</f>
        <v>2.415</v>
      </c>
      <c r="D235" s="7">
        <v>0.01</v>
      </c>
      <c r="E235" s="7">
        <f t="shared" si="11"/>
        <v>2.425</v>
      </c>
    </row>
    <row r="236" spans="1:5" s="27" customFormat="1" ht="23.25">
      <c r="A236" s="21"/>
      <c r="B236" s="2" t="s">
        <v>1161</v>
      </c>
      <c r="C236" s="5">
        <f>2.3+(2.3*5/100)</f>
        <v>2.415</v>
      </c>
      <c r="D236" s="7">
        <v>0.01</v>
      </c>
      <c r="E236" s="7">
        <f t="shared" si="11"/>
        <v>2.425</v>
      </c>
    </row>
    <row r="237" spans="1:5" s="27" customFormat="1" ht="46.5">
      <c r="A237" s="21" t="s">
        <v>116</v>
      </c>
      <c r="B237" s="2" t="s">
        <v>781</v>
      </c>
      <c r="C237" s="5">
        <f>3.6+(3.6*5/100)</f>
        <v>3.7800000000000002</v>
      </c>
      <c r="D237" s="31" t="s">
        <v>104</v>
      </c>
      <c r="E237" s="31">
        <f>C237</f>
        <v>3.7800000000000002</v>
      </c>
    </row>
    <row r="238" spans="1:5" s="27" customFormat="1" ht="46.5">
      <c r="A238" s="21" t="s">
        <v>121</v>
      </c>
      <c r="B238" s="2" t="s">
        <v>782</v>
      </c>
      <c r="C238" s="5">
        <f>2.84+(2.84*5/100)</f>
        <v>2.9819999999999998</v>
      </c>
      <c r="D238" s="31" t="s">
        <v>104</v>
      </c>
      <c r="E238" s="31">
        <f aca="true" t="shared" si="12" ref="E238:E304">C238</f>
        <v>2.9819999999999998</v>
      </c>
    </row>
    <row r="239" spans="1:5" s="27" customFormat="1" ht="46.5">
      <c r="A239" s="21" t="s">
        <v>123</v>
      </c>
      <c r="B239" s="2" t="s">
        <v>783</v>
      </c>
      <c r="C239" s="5">
        <f>4.35+(4.35*5/100)</f>
        <v>4.5675</v>
      </c>
      <c r="D239" s="31" t="s">
        <v>104</v>
      </c>
      <c r="E239" s="31">
        <f t="shared" si="12"/>
        <v>4.5675</v>
      </c>
    </row>
    <row r="240" spans="1:5" s="27" customFormat="1" ht="46.5">
      <c r="A240" s="21" t="s">
        <v>1117</v>
      </c>
      <c r="B240" s="2" t="s">
        <v>784</v>
      </c>
      <c r="C240" s="5">
        <f>3.6+(3.6*5/100)</f>
        <v>3.7800000000000002</v>
      </c>
      <c r="D240" s="31" t="s">
        <v>104</v>
      </c>
      <c r="E240" s="31">
        <f t="shared" si="12"/>
        <v>3.7800000000000002</v>
      </c>
    </row>
    <row r="241" spans="1:5" s="27" customFormat="1" ht="23.25">
      <c r="A241" s="21" t="s">
        <v>127</v>
      </c>
      <c r="B241" s="2" t="s">
        <v>785</v>
      </c>
      <c r="C241" s="5">
        <f>3.47+(3.47*5/100)</f>
        <v>3.6435000000000004</v>
      </c>
      <c r="D241" s="31" t="s">
        <v>104</v>
      </c>
      <c r="E241" s="31">
        <f t="shared" si="12"/>
        <v>3.6435000000000004</v>
      </c>
    </row>
    <row r="242" spans="1:5" s="27" customFormat="1" ht="23.25">
      <c r="A242" s="21" t="s">
        <v>129</v>
      </c>
      <c r="B242" s="2" t="s">
        <v>786</v>
      </c>
      <c r="C242" s="5">
        <f>2.61+(2.61*5/100)</f>
        <v>2.7405</v>
      </c>
      <c r="D242" s="31" t="s">
        <v>104</v>
      </c>
      <c r="E242" s="31">
        <f t="shared" si="12"/>
        <v>2.7405</v>
      </c>
    </row>
    <row r="243" spans="1:5" s="27" customFormat="1" ht="23.25">
      <c r="A243" s="54" t="s">
        <v>1189</v>
      </c>
      <c r="B243" s="55"/>
      <c r="C243" s="55"/>
      <c r="D243" s="55"/>
      <c r="E243" s="56"/>
    </row>
    <row r="244" spans="1:5" s="27" customFormat="1" ht="46.5">
      <c r="A244" s="21" t="s">
        <v>131</v>
      </c>
      <c r="B244" s="2" t="s">
        <v>787</v>
      </c>
      <c r="C244" s="5">
        <f>1.05+(1.05*5/100)</f>
        <v>1.1025</v>
      </c>
      <c r="D244" s="31" t="s">
        <v>104</v>
      </c>
      <c r="E244" s="31">
        <f t="shared" si="12"/>
        <v>1.1025</v>
      </c>
    </row>
    <row r="245" spans="1:5" s="27" customFormat="1" ht="46.5">
      <c r="A245" s="21" t="s">
        <v>893</v>
      </c>
      <c r="B245" s="2" t="s">
        <v>788</v>
      </c>
      <c r="C245" s="5">
        <f>1.05+(1.05*5/100)</f>
        <v>1.1025</v>
      </c>
      <c r="D245" s="31" t="s">
        <v>104</v>
      </c>
      <c r="E245" s="31">
        <f t="shared" si="12"/>
        <v>1.1025</v>
      </c>
    </row>
    <row r="246" spans="1:5" s="27" customFormat="1" ht="46.5">
      <c r="A246" s="21" t="s">
        <v>133</v>
      </c>
      <c r="B246" s="2" t="s">
        <v>789</v>
      </c>
      <c r="C246" s="5">
        <f>1.05+(1.05*5/100)</f>
        <v>1.1025</v>
      </c>
      <c r="D246" s="31" t="s">
        <v>104</v>
      </c>
      <c r="E246" s="31">
        <f t="shared" si="12"/>
        <v>1.1025</v>
      </c>
    </row>
    <row r="247" spans="1:5" s="27" customFormat="1" ht="46.5">
      <c r="A247" s="21" t="s">
        <v>135</v>
      </c>
      <c r="B247" s="2" t="s">
        <v>790</v>
      </c>
      <c r="C247" s="5">
        <f aca="true" t="shared" si="13" ref="C247:C256">1.05+(1.05*5/100)</f>
        <v>1.1025</v>
      </c>
      <c r="D247" s="31" t="s">
        <v>104</v>
      </c>
      <c r="E247" s="31">
        <f t="shared" si="12"/>
        <v>1.1025</v>
      </c>
    </row>
    <row r="248" spans="1:5" s="27" customFormat="1" ht="46.5">
      <c r="A248" s="21" t="s">
        <v>137</v>
      </c>
      <c r="B248" s="2" t="s">
        <v>791</v>
      </c>
      <c r="C248" s="5">
        <f t="shared" si="13"/>
        <v>1.1025</v>
      </c>
      <c r="D248" s="31" t="s">
        <v>104</v>
      </c>
      <c r="E248" s="31">
        <f t="shared" si="12"/>
        <v>1.1025</v>
      </c>
    </row>
    <row r="249" spans="1:5" s="27" customFormat="1" ht="46.5">
      <c r="A249" s="21" t="s">
        <v>139</v>
      </c>
      <c r="B249" s="2" t="s">
        <v>792</v>
      </c>
      <c r="C249" s="5">
        <f t="shared" si="13"/>
        <v>1.1025</v>
      </c>
      <c r="D249" s="31" t="s">
        <v>104</v>
      </c>
      <c r="E249" s="31">
        <f t="shared" si="12"/>
        <v>1.1025</v>
      </c>
    </row>
    <row r="250" spans="1:5" s="27" customFormat="1" ht="46.5">
      <c r="A250" s="21" t="s">
        <v>141</v>
      </c>
      <c r="B250" s="2" t="s">
        <v>793</v>
      </c>
      <c r="C250" s="5">
        <f>1.21+(1.21*5/100)</f>
        <v>1.2705</v>
      </c>
      <c r="D250" s="31" t="s">
        <v>104</v>
      </c>
      <c r="E250" s="31">
        <f t="shared" si="12"/>
        <v>1.2705</v>
      </c>
    </row>
    <row r="251" spans="1:5" s="27" customFormat="1" ht="46.5">
      <c r="A251" s="21" t="s">
        <v>148</v>
      </c>
      <c r="B251" s="2" t="s">
        <v>794</v>
      </c>
      <c r="C251" s="5">
        <f t="shared" si="13"/>
        <v>1.1025</v>
      </c>
      <c r="D251" s="31" t="s">
        <v>104</v>
      </c>
      <c r="E251" s="31">
        <f t="shared" si="12"/>
        <v>1.1025</v>
      </c>
    </row>
    <row r="252" spans="1:5" s="27" customFormat="1" ht="46.5">
      <c r="A252" s="21" t="s">
        <v>581</v>
      </c>
      <c r="B252" s="2" t="s">
        <v>794</v>
      </c>
      <c r="C252" s="5">
        <f t="shared" si="13"/>
        <v>1.1025</v>
      </c>
      <c r="D252" s="31" t="s">
        <v>104</v>
      </c>
      <c r="E252" s="31">
        <f t="shared" si="12"/>
        <v>1.1025</v>
      </c>
    </row>
    <row r="253" spans="1:5" s="27" customFormat="1" ht="46.5">
      <c r="A253" s="21" t="s">
        <v>143</v>
      </c>
      <c r="B253" s="2" t="s">
        <v>795</v>
      </c>
      <c r="C253" s="5">
        <f>1.21+(1.21*5/100)</f>
        <v>1.2705</v>
      </c>
      <c r="D253" s="31" t="s">
        <v>104</v>
      </c>
      <c r="E253" s="31">
        <f t="shared" si="12"/>
        <v>1.2705</v>
      </c>
    </row>
    <row r="254" spans="1:5" s="27" customFormat="1" ht="116.25">
      <c r="A254" s="21" t="s">
        <v>796</v>
      </c>
      <c r="B254" s="2" t="s">
        <v>797</v>
      </c>
      <c r="C254" s="5">
        <f t="shared" si="13"/>
        <v>1.1025</v>
      </c>
      <c r="D254" s="31" t="s">
        <v>104</v>
      </c>
      <c r="E254" s="31">
        <f t="shared" si="12"/>
        <v>1.1025</v>
      </c>
    </row>
    <row r="255" spans="1:5" s="27" customFormat="1" ht="46.5">
      <c r="A255" s="21" t="s">
        <v>798</v>
      </c>
      <c r="B255" s="2" t="s">
        <v>799</v>
      </c>
      <c r="C255" s="5">
        <f t="shared" si="13"/>
        <v>1.1025</v>
      </c>
      <c r="D255" s="31" t="s">
        <v>104</v>
      </c>
      <c r="E255" s="31">
        <f t="shared" si="12"/>
        <v>1.1025</v>
      </c>
    </row>
    <row r="256" spans="1:5" s="27" customFormat="1" ht="46.5">
      <c r="A256" s="21" t="s">
        <v>800</v>
      </c>
      <c r="B256" s="2" t="s">
        <v>801</v>
      </c>
      <c r="C256" s="5">
        <f t="shared" si="13"/>
        <v>1.1025</v>
      </c>
      <c r="D256" s="31" t="s">
        <v>104</v>
      </c>
      <c r="E256" s="31">
        <f t="shared" si="12"/>
        <v>1.1025</v>
      </c>
    </row>
    <row r="257" spans="1:5" s="27" customFormat="1" ht="69.75">
      <c r="A257" s="21" t="s">
        <v>321</v>
      </c>
      <c r="B257" s="2" t="s">
        <v>802</v>
      </c>
      <c r="C257" s="5">
        <f>4.51+(4.51*5/100)</f>
        <v>4.7355</v>
      </c>
      <c r="D257" s="31" t="s">
        <v>104</v>
      </c>
      <c r="E257" s="31">
        <f t="shared" si="12"/>
        <v>4.7355</v>
      </c>
    </row>
    <row r="258" spans="1:5" s="27" customFormat="1" ht="69.75">
      <c r="A258" s="21" t="s">
        <v>1112</v>
      </c>
      <c r="B258" s="2" t="s">
        <v>803</v>
      </c>
      <c r="C258" s="5">
        <f>1.21+(1.21*5/100)</f>
        <v>1.2705</v>
      </c>
      <c r="D258" s="31" t="s">
        <v>104</v>
      </c>
      <c r="E258" s="31">
        <f t="shared" si="12"/>
        <v>1.2705</v>
      </c>
    </row>
    <row r="259" spans="1:5" s="27" customFormat="1" ht="69.75">
      <c r="A259" s="21" t="s">
        <v>145</v>
      </c>
      <c r="B259" s="2" t="s">
        <v>804</v>
      </c>
      <c r="C259" s="5">
        <f>1.05+(1.05*5/100)</f>
        <v>1.1025</v>
      </c>
      <c r="D259" s="31" t="s">
        <v>104</v>
      </c>
      <c r="E259" s="31">
        <f t="shared" si="12"/>
        <v>1.1025</v>
      </c>
    </row>
    <row r="260" spans="1:5" s="27" customFormat="1" ht="23.25">
      <c r="A260" s="21" t="s">
        <v>805</v>
      </c>
      <c r="B260" s="2" t="s">
        <v>806</v>
      </c>
      <c r="C260" s="5">
        <f>0.83+(0.83*5/100)</f>
        <v>0.8714999999999999</v>
      </c>
      <c r="D260" s="31" t="s">
        <v>104</v>
      </c>
      <c r="E260" s="31">
        <f t="shared" si="12"/>
        <v>0.8714999999999999</v>
      </c>
    </row>
    <row r="261" spans="1:5" s="27" customFormat="1" ht="23.25">
      <c r="A261" s="21" t="s">
        <v>807</v>
      </c>
      <c r="B261" s="2" t="s">
        <v>808</v>
      </c>
      <c r="C261" s="5">
        <f>0.9+(0.9*5/100)</f>
        <v>0.9450000000000001</v>
      </c>
      <c r="D261" s="31" t="s">
        <v>104</v>
      </c>
      <c r="E261" s="31">
        <f t="shared" si="12"/>
        <v>0.9450000000000001</v>
      </c>
    </row>
    <row r="262" spans="1:5" s="27" customFormat="1" ht="93">
      <c r="A262" s="21" t="s">
        <v>149</v>
      </c>
      <c r="B262" s="2" t="s">
        <v>809</v>
      </c>
      <c r="C262" s="5">
        <f>2.64+(2.64*5/100)</f>
        <v>2.7720000000000002</v>
      </c>
      <c r="D262" s="31" t="s">
        <v>104</v>
      </c>
      <c r="E262" s="31">
        <f t="shared" si="12"/>
        <v>2.7720000000000002</v>
      </c>
    </row>
    <row r="263" spans="1:5" s="27" customFormat="1" ht="46.5">
      <c r="A263" s="21" t="s">
        <v>810</v>
      </c>
      <c r="B263" s="2" t="s">
        <v>811</v>
      </c>
      <c r="C263" s="5">
        <f>1.51+(1.51*5/100)</f>
        <v>1.5855</v>
      </c>
      <c r="D263" s="31" t="s">
        <v>104</v>
      </c>
      <c r="E263" s="31">
        <f t="shared" si="12"/>
        <v>1.5855</v>
      </c>
    </row>
    <row r="264" spans="1:5" s="27" customFormat="1" ht="93">
      <c r="A264" s="21" t="s">
        <v>812</v>
      </c>
      <c r="B264" s="2" t="s">
        <v>813</v>
      </c>
      <c r="C264" s="5">
        <f>1.46+(1.46*5/100)</f>
        <v>1.533</v>
      </c>
      <c r="D264" s="31" t="s">
        <v>104</v>
      </c>
      <c r="E264" s="31">
        <f t="shared" si="12"/>
        <v>1.533</v>
      </c>
    </row>
    <row r="265" spans="1:5" s="27" customFormat="1" ht="93">
      <c r="A265" s="21" t="s">
        <v>814</v>
      </c>
      <c r="B265" s="2" t="s">
        <v>815</v>
      </c>
      <c r="C265" s="5">
        <f>2.34+(2.34*5/100)</f>
        <v>2.457</v>
      </c>
      <c r="D265" s="31" t="s">
        <v>104</v>
      </c>
      <c r="E265" s="31">
        <f t="shared" si="12"/>
        <v>2.457</v>
      </c>
    </row>
    <row r="266" spans="1:5" s="27" customFormat="1" ht="23.25">
      <c r="A266" s="54" t="s">
        <v>1190</v>
      </c>
      <c r="B266" s="55"/>
      <c r="C266" s="55"/>
      <c r="D266" s="55"/>
      <c r="E266" s="56"/>
    </row>
    <row r="267" spans="1:5" s="27" customFormat="1" ht="46.5">
      <c r="A267" s="21" t="s">
        <v>594</v>
      </c>
      <c r="B267" s="2" t="s">
        <v>816</v>
      </c>
      <c r="C267" s="5">
        <f>1.65+(1.65*5/100)</f>
        <v>1.7325</v>
      </c>
      <c r="D267" s="31" t="s">
        <v>104</v>
      </c>
      <c r="E267" s="31">
        <f t="shared" si="12"/>
        <v>1.7325</v>
      </c>
    </row>
    <row r="268" spans="1:5" s="27" customFormat="1" ht="46.5">
      <c r="A268" s="21" t="s">
        <v>596</v>
      </c>
      <c r="B268" s="2" t="s">
        <v>817</v>
      </c>
      <c r="C268" s="5">
        <f>1.05+(1.05*5/100)</f>
        <v>1.1025</v>
      </c>
      <c r="D268" s="31" t="s">
        <v>104</v>
      </c>
      <c r="E268" s="31">
        <f t="shared" si="12"/>
        <v>1.1025</v>
      </c>
    </row>
    <row r="269" spans="1:5" s="27" customFormat="1" ht="46.5">
      <c r="A269" s="21" t="s">
        <v>818</v>
      </c>
      <c r="B269" s="2" t="s">
        <v>819</v>
      </c>
      <c r="C269" s="5">
        <f aca="true" t="shared" si="14" ref="C269:C274">1.65+(1.65*5/100)</f>
        <v>1.7325</v>
      </c>
      <c r="D269" s="31" t="s">
        <v>104</v>
      </c>
      <c r="E269" s="31">
        <f t="shared" si="12"/>
        <v>1.7325</v>
      </c>
    </row>
    <row r="270" spans="1:5" s="27" customFormat="1" ht="46.5">
      <c r="A270" s="21" t="s">
        <v>686</v>
      </c>
      <c r="B270" s="2" t="s">
        <v>820</v>
      </c>
      <c r="C270" s="5">
        <f t="shared" si="14"/>
        <v>1.7325</v>
      </c>
      <c r="D270" s="31" t="s">
        <v>104</v>
      </c>
      <c r="E270" s="31">
        <f t="shared" si="12"/>
        <v>1.7325</v>
      </c>
    </row>
    <row r="271" spans="1:5" s="27" customFormat="1" ht="46.5">
      <c r="A271" s="21" t="s">
        <v>688</v>
      </c>
      <c r="B271" s="2" t="s">
        <v>821</v>
      </c>
      <c r="C271" s="5">
        <f t="shared" si="14"/>
        <v>1.7325</v>
      </c>
      <c r="D271" s="31" t="s">
        <v>104</v>
      </c>
      <c r="E271" s="31">
        <f t="shared" si="12"/>
        <v>1.7325</v>
      </c>
    </row>
    <row r="272" spans="1:5" s="27" customFormat="1" ht="46.5">
      <c r="A272" s="21" t="s">
        <v>822</v>
      </c>
      <c r="B272" s="2" t="s">
        <v>823</v>
      </c>
      <c r="C272" s="5">
        <f t="shared" si="14"/>
        <v>1.7325</v>
      </c>
      <c r="D272" s="31" t="s">
        <v>104</v>
      </c>
      <c r="E272" s="31">
        <f t="shared" si="12"/>
        <v>1.7325</v>
      </c>
    </row>
    <row r="273" spans="1:5" s="27" customFormat="1" ht="46.5">
      <c r="A273" s="21" t="s">
        <v>824</v>
      </c>
      <c r="B273" s="2" t="s">
        <v>825</v>
      </c>
      <c r="C273" s="5">
        <f t="shared" si="14"/>
        <v>1.7325</v>
      </c>
      <c r="D273" s="31" t="s">
        <v>104</v>
      </c>
      <c r="E273" s="31">
        <f t="shared" si="12"/>
        <v>1.7325</v>
      </c>
    </row>
    <row r="274" spans="1:5" s="27" customFormat="1" ht="69.75">
      <c r="A274" s="21" t="s">
        <v>826</v>
      </c>
      <c r="B274" s="2" t="s">
        <v>827</v>
      </c>
      <c r="C274" s="5">
        <f t="shared" si="14"/>
        <v>1.7325</v>
      </c>
      <c r="D274" s="31" t="s">
        <v>104</v>
      </c>
      <c r="E274" s="31">
        <f t="shared" si="12"/>
        <v>1.7325</v>
      </c>
    </row>
    <row r="275" spans="1:5" s="27" customFormat="1" ht="69.75">
      <c r="A275" s="21" t="s">
        <v>828</v>
      </c>
      <c r="B275" s="2" t="s">
        <v>829</v>
      </c>
      <c r="C275" s="5">
        <f>1.35+(1.35*5/100)</f>
        <v>1.4175</v>
      </c>
      <c r="D275" s="31" t="s">
        <v>104</v>
      </c>
      <c r="E275" s="31">
        <f t="shared" si="12"/>
        <v>1.4175</v>
      </c>
    </row>
    <row r="276" spans="1:5" s="27" customFormat="1" ht="69.75">
      <c r="A276" s="21" t="s">
        <v>830</v>
      </c>
      <c r="B276" s="2" t="s">
        <v>831</v>
      </c>
      <c r="C276" s="5">
        <f>1.21+(1.21*5/100)</f>
        <v>1.2705</v>
      </c>
      <c r="D276" s="31" t="s">
        <v>104</v>
      </c>
      <c r="E276" s="31">
        <f t="shared" si="12"/>
        <v>1.2705</v>
      </c>
    </row>
    <row r="277" spans="1:5" s="27" customFormat="1" ht="93">
      <c r="A277" s="21" t="s">
        <v>832</v>
      </c>
      <c r="B277" s="2" t="s">
        <v>833</v>
      </c>
      <c r="C277" s="5">
        <f>1.35+(1.35*5/100)</f>
        <v>1.4175</v>
      </c>
      <c r="D277" s="31" t="s">
        <v>104</v>
      </c>
      <c r="E277" s="31">
        <f t="shared" si="12"/>
        <v>1.4175</v>
      </c>
    </row>
    <row r="278" spans="1:5" s="27" customFormat="1" ht="46.5">
      <c r="A278" s="21" t="s">
        <v>834</v>
      </c>
      <c r="B278" s="2" t="s">
        <v>835</v>
      </c>
      <c r="C278" s="5">
        <f>1.05+(1.05*5/100)</f>
        <v>1.1025</v>
      </c>
      <c r="D278" s="31" t="s">
        <v>104</v>
      </c>
      <c r="E278" s="31">
        <f t="shared" si="12"/>
        <v>1.1025</v>
      </c>
    </row>
    <row r="279" spans="1:5" s="27" customFormat="1" ht="139.5">
      <c r="A279" s="21" t="s">
        <v>836</v>
      </c>
      <c r="B279" s="2" t="s">
        <v>837</v>
      </c>
      <c r="C279" s="5">
        <f>1.79+(1.79*5/100)</f>
        <v>1.8795</v>
      </c>
      <c r="D279" s="31" t="s">
        <v>104</v>
      </c>
      <c r="E279" s="31">
        <f t="shared" si="12"/>
        <v>1.8795</v>
      </c>
    </row>
    <row r="280" spans="1:5" s="27" customFormat="1" ht="46.5">
      <c r="A280" s="21" t="s">
        <v>838</v>
      </c>
      <c r="B280" s="2" t="s">
        <v>839</v>
      </c>
      <c r="C280" s="5">
        <f>1.79+(1.79*5/100)</f>
        <v>1.8795</v>
      </c>
      <c r="D280" s="31" t="s">
        <v>104</v>
      </c>
      <c r="E280" s="31">
        <f t="shared" si="12"/>
        <v>1.8795</v>
      </c>
    </row>
    <row r="281" spans="1:5" s="27" customFormat="1" ht="46.5">
      <c r="A281" s="21" t="s">
        <v>840</v>
      </c>
      <c r="B281" s="2" t="s">
        <v>841</v>
      </c>
      <c r="C281" s="5">
        <f>1.05+(1.05*5/100)</f>
        <v>1.1025</v>
      </c>
      <c r="D281" s="31" t="s">
        <v>104</v>
      </c>
      <c r="E281" s="31">
        <f t="shared" si="12"/>
        <v>1.1025</v>
      </c>
    </row>
    <row r="282" spans="1:5" s="27" customFormat="1" ht="69.75">
      <c r="A282" s="21" t="s">
        <v>842</v>
      </c>
      <c r="B282" s="2" t="s">
        <v>802</v>
      </c>
      <c r="C282" s="5">
        <f>5.25+(5.25*5/100)</f>
        <v>5.5125</v>
      </c>
      <c r="D282" s="31" t="s">
        <v>104</v>
      </c>
      <c r="E282" s="31">
        <f t="shared" si="12"/>
        <v>5.5125</v>
      </c>
    </row>
    <row r="283" spans="1:5" s="27" customFormat="1" ht="69.75">
      <c r="A283" s="21" t="s">
        <v>843</v>
      </c>
      <c r="B283" s="2" t="s">
        <v>803</v>
      </c>
      <c r="C283" s="5">
        <f>1.21+(1.21*5/100)</f>
        <v>1.2705</v>
      </c>
      <c r="D283" s="31" t="s">
        <v>104</v>
      </c>
      <c r="E283" s="31">
        <f t="shared" si="12"/>
        <v>1.2705</v>
      </c>
    </row>
    <row r="284" spans="1:5" s="27" customFormat="1" ht="69.75">
      <c r="A284" s="21" t="s">
        <v>844</v>
      </c>
      <c r="B284" s="2" t="s">
        <v>804</v>
      </c>
      <c r="C284" s="5">
        <f>1.05+(1.05*5/100)</f>
        <v>1.1025</v>
      </c>
      <c r="D284" s="31" t="s">
        <v>104</v>
      </c>
      <c r="E284" s="31">
        <f t="shared" si="12"/>
        <v>1.1025</v>
      </c>
    </row>
    <row r="285" spans="1:5" s="27" customFormat="1" ht="69.75">
      <c r="A285" s="21" t="s">
        <v>845</v>
      </c>
      <c r="B285" s="2" t="s">
        <v>846</v>
      </c>
      <c r="C285" s="5">
        <f>1.05+(1.05*5/100)</f>
        <v>1.1025</v>
      </c>
      <c r="D285" s="31" t="s">
        <v>104</v>
      </c>
      <c r="E285" s="31">
        <f t="shared" si="12"/>
        <v>1.1025</v>
      </c>
    </row>
    <row r="286" spans="1:5" s="27" customFormat="1" ht="69.75">
      <c r="A286" s="21" t="s">
        <v>847</v>
      </c>
      <c r="B286" s="2" t="s">
        <v>848</v>
      </c>
      <c r="C286" s="5">
        <f>1.05+(1.05*5/100)</f>
        <v>1.1025</v>
      </c>
      <c r="D286" s="31" t="s">
        <v>104</v>
      </c>
      <c r="E286" s="31">
        <f t="shared" si="12"/>
        <v>1.1025</v>
      </c>
    </row>
    <row r="287" spans="1:5" s="27" customFormat="1" ht="23.25">
      <c r="A287" s="21" t="s">
        <v>849</v>
      </c>
      <c r="B287" s="2" t="s">
        <v>806</v>
      </c>
      <c r="C287" s="5">
        <f>1.08+(1.08*5/100)</f>
        <v>1.1340000000000001</v>
      </c>
      <c r="D287" s="31" t="s">
        <v>104</v>
      </c>
      <c r="E287" s="31">
        <f t="shared" si="12"/>
        <v>1.1340000000000001</v>
      </c>
    </row>
    <row r="288" spans="1:5" s="27" customFormat="1" ht="23.25">
      <c r="A288" s="21" t="s">
        <v>850</v>
      </c>
      <c r="B288" s="2" t="s">
        <v>851</v>
      </c>
      <c r="C288" s="5">
        <f>1.19+(1.19*5/100)</f>
        <v>1.2494999999999998</v>
      </c>
      <c r="D288" s="31" t="s">
        <v>104</v>
      </c>
      <c r="E288" s="31">
        <f t="shared" si="12"/>
        <v>1.2494999999999998</v>
      </c>
    </row>
    <row r="289" spans="1:5" s="27" customFormat="1" ht="46.5">
      <c r="A289" s="21" t="s">
        <v>852</v>
      </c>
      <c r="B289" s="2" t="s">
        <v>853</v>
      </c>
      <c r="C289" s="5">
        <f>0.75+(0.75*5/100)</f>
        <v>0.7875</v>
      </c>
      <c r="D289" s="31" t="s">
        <v>104</v>
      </c>
      <c r="E289" s="31">
        <f t="shared" si="12"/>
        <v>0.7875</v>
      </c>
    </row>
    <row r="290" spans="1:5" s="27" customFormat="1" ht="23.25">
      <c r="A290" s="21" t="s">
        <v>854</v>
      </c>
      <c r="B290" s="2" t="s">
        <v>855</v>
      </c>
      <c r="C290" s="5">
        <f>1.19+(1.19*5/100)</f>
        <v>1.2494999999999998</v>
      </c>
      <c r="D290" s="31" t="s">
        <v>104</v>
      </c>
      <c r="E290" s="31">
        <f t="shared" si="12"/>
        <v>1.2494999999999998</v>
      </c>
    </row>
    <row r="291" spans="1:5" s="27" customFormat="1" ht="93">
      <c r="A291" s="21" t="s">
        <v>856</v>
      </c>
      <c r="B291" s="2" t="s">
        <v>857</v>
      </c>
      <c r="C291" s="5">
        <f>2.64+(2.64*5/100)</f>
        <v>2.7720000000000002</v>
      </c>
      <c r="D291" s="31" t="s">
        <v>104</v>
      </c>
      <c r="E291" s="31">
        <f t="shared" si="12"/>
        <v>2.7720000000000002</v>
      </c>
    </row>
    <row r="292" spans="1:5" s="27" customFormat="1" ht="46.5">
      <c r="A292" s="21" t="s">
        <v>858</v>
      </c>
      <c r="B292" s="2" t="s">
        <v>859</v>
      </c>
      <c r="C292" s="5">
        <f>1.51+(1.51*5/100)</f>
        <v>1.5855</v>
      </c>
      <c r="D292" s="31" t="s">
        <v>104</v>
      </c>
      <c r="E292" s="31">
        <f t="shared" si="12"/>
        <v>1.5855</v>
      </c>
    </row>
    <row r="293" spans="1:5" s="27" customFormat="1" ht="93">
      <c r="A293" s="21" t="s">
        <v>860</v>
      </c>
      <c r="B293" s="2" t="s">
        <v>861</v>
      </c>
      <c r="C293" s="5">
        <f>1.46+(1.46*5/100)</f>
        <v>1.533</v>
      </c>
      <c r="D293" s="31" t="s">
        <v>104</v>
      </c>
      <c r="E293" s="31">
        <f t="shared" si="12"/>
        <v>1.533</v>
      </c>
    </row>
    <row r="294" spans="1:5" s="27" customFormat="1" ht="93">
      <c r="A294" s="21" t="s">
        <v>862</v>
      </c>
      <c r="B294" s="2" t="s">
        <v>863</v>
      </c>
      <c r="C294" s="5">
        <f>2.34+(2.34*5/100)</f>
        <v>2.457</v>
      </c>
      <c r="D294" s="31" t="s">
        <v>104</v>
      </c>
      <c r="E294" s="31">
        <f t="shared" si="12"/>
        <v>2.457</v>
      </c>
    </row>
    <row r="295" spans="1:5" s="27" customFormat="1" ht="23.25">
      <c r="A295" s="57" t="s">
        <v>1191</v>
      </c>
      <c r="B295" s="57"/>
      <c r="C295" s="57"/>
      <c r="D295" s="57"/>
      <c r="E295" s="58"/>
    </row>
    <row r="296" spans="1:5" s="27" customFormat="1" ht="46.5">
      <c r="A296" s="21" t="s">
        <v>7</v>
      </c>
      <c r="B296" s="2" t="s">
        <v>864</v>
      </c>
      <c r="C296" s="5">
        <f>5.12+(5.12*5/100)</f>
        <v>5.376</v>
      </c>
      <c r="D296" s="31" t="s">
        <v>104</v>
      </c>
      <c r="E296" s="31">
        <f t="shared" si="12"/>
        <v>5.376</v>
      </c>
    </row>
    <row r="297" spans="1:5" s="27" customFormat="1" ht="46.5">
      <c r="A297" s="21" t="s">
        <v>112</v>
      </c>
      <c r="B297" s="2" t="s">
        <v>865</v>
      </c>
      <c r="C297" s="5">
        <f>2.75+(2.75*5/100)</f>
        <v>2.8875</v>
      </c>
      <c r="D297" s="31" t="s">
        <v>104</v>
      </c>
      <c r="E297" s="31">
        <f t="shared" si="12"/>
        <v>2.8875</v>
      </c>
    </row>
    <row r="298" spans="1:5" s="27" customFormat="1" ht="23.25">
      <c r="A298" s="21" t="s">
        <v>244</v>
      </c>
      <c r="B298" s="2" t="s">
        <v>866</v>
      </c>
      <c r="C298" s="5">
        <f>2.75+(2.75*5/100)</f>
        <v>2.8875</v>
      </c>
      <c r="D298" s="31" t="s">
        <v>104</v>
      </c>
      <c r="E298" s="31">
        <f t="shared" si="12"/>
        <v>2.8875</v>
      </c>
    </row>
    <row r="299" spans="1:5" s="27" customFormat="1" ht="46.5">
      <c r="A299" s="21" t="s">
        <v>254</v>
      </c>
      <c r="B299" s="2" t="s">
        <v>867</v>
      </c>
      <c r="C299" s="5">
        <f>2.75+(2.75*5/100)</f>
        <v>2.8875</v>
      </c>
      <c r="D299" s="31" t="s">
        <v>104</v>
      </c>
      <c r="E299" s="31">
        <f t="shared" si="12"/>
        <v>2.8875</v>
      </c>
    </row>
    <row r="300" spans="1:5" s="27" customFormat="1" ht="46.5">
      <c r="A300" s="21" t="s">
        <v>1115</v>
      </c>
      <c r="B300" s="2" t="s">
        <v>868</v>
      </c>
      <c r="C300" s="5">
        <f>4.06+(4.06*5/100)</f>
        <v>4.263</v>
      </c>
      <c r="D300" s="31" t="s">
        <v>104</v>
      </c>
      <c r="E300" s="31">
        <f t="shared" si="12"/>
        <v>4.263</v>
      </c>
    </row>
    <row r="301" spans="1:5" s="27" customFormat="1" ht="46.5">
      <c r="A301" s="21" t="s">
        <v>869</v>
      </c>
      <c r="B301" s="2" t="s">
        <v>870</v>
      </c>
      <c r="C301" s="5">
        <f>3.31+(3.31*5/100)</f>
        <v>3.4755000000000003</v>
      </c>
      <c r="D301" s="31" t="s">
        <v>104</v>
      </c>
      <c r="E301" s="31">
        <f t="shared" si="12"/>
        <v>3.4755000000000003</v>
      </c>
    </row>
    <row r="302" spans="1:5" s="27" customFormat="1" ht="69.75">
      <c r="A302" s="21" t="s">
        <v>871</v>
      </c>
      <c r="B302" s="2" t="s">
        <v>872</v>
      </c>
      <c r="C302" s="5">
        <f>3.61+(3.61*5/100)</f>
        <v>3.7904999999999998</v>
      </c>
      <c r="D302" s="31" t="s">
        <v>104</v>
      </c>
      <c r="E302" s="31">
        <f t="shared" si="12"/>
        <v>3.7904999999999998</v>
      </c>
    </row>
    <row r="303" spans="1:5" s="27" customFormat="1" ht="46.5">
      <c r="A303" s="21" t="s">
        <v>873</v>
      </c>
      <c r="B303" s="2" t="s">
        <v>874</v>
      </c>
      <c r="C303" s="5">
        <f>1.51+(1.51*5/100)</f>
        <v>1.5855</v>
      </c>
      <c r="D303" s="31" t="s">
        <v>104</v>
      </c>
      <c r="E303" s="31">
        <f t="shared" si="12"/>
        <v>1.5855</v>
      </c>
    </row>
    <row r="304" spans="1:5" s="27" customFormat="1" ht="69.75">
      <c r="A304" s="21" t="s">
        <v>875</v>
      </c>
      <c r="B304" s="2" t="s">
        <v>876</v>
      </c>
      <c r="C304" s="5">
        <f>1.51+(1.51*5/100)</f>
        <v>1.5855</v>
      </c>
      <c r="D304" s="31" t="s">
        <v>104</v>
      </c>
      <c r="E304" s="31">
        <f t="shared" si="12"/>
        <v>1.5855</v>
      </c>
    </row>
    <row r="305" spans="1:5" s="27" customFormat="1" ht="26.25">
      <c r="A305" s="49" t="s">
        <v>564</v>
      </c>
      <c r="B305" s="49"/>
      <c r="C305" s="49"/>
      <c r="D305" s="49"/>
      <c r="E305" s="49"/>
    </row>
    <row r="306" spans="1:5" s="27" customFormat="1" ht="23.25">
      <c r="A306" s="21" t="s">
        <v>116</v>
      </c>
      <c r="B306" s="2" t="s">
        <v>565</v>
      </c>
      <c r="C306" s="5">
        <f>6.03+(6.03*5/100)</f>
        <v>6.3315</v>
      </c>
      <c r="D306" s="5" t="s">
        <v>104</v>
      </c>
      <c r="E306" s="5">
        <f>C306</f>
        <v>6.3315</v>
      </c>
    </row>
    <row r="307" spans="1:5" s="27" customFormat="1" ht="23.25">
      <c r="A307" s="21" t="s">
        <v>121</v>
      </c>
      <c r="B307" s="2" t="s">
        <v>566</v>
      </c>
      <c r="C307" s="5">
        <f>4.34+(4.34*5/100)</f>
        <v>4.5569999999999995</v>
      </c>
      <c r="D307" s="5" t="s">
        <v>104</v>
      </c>
      <c r="E307" s="5">
        <f aca="true" t="shared" si="15" ref="E307:E318">C307</f>
        <v>4.5569999999999995</v>
      </c>
    </row>
    <row r="308" spans="1:5" s="27" customFormat="1" ht="23.25">
      <c r="A308" s="21" t="s">
        <v>567</v>
      </c>
      <c r="B308" s="2" t="s">
        <v>568</v>
      </c>
      <c r="C308" s="5">
        <f>4.9+(4.9*5/100)</f>
        <v>5.1450000000000005</v>
      </c>
      <c r="D308" s="5" t="s">
        <v>104</v>
      </c>
      <c r="E308" s="5">
        <f t="shared" si="15"/>
        <v>5.1450000000000005</v>
      </c>
    </row>
    <row r="309" spans="1:5" s="27" customFormat="1" ht="23.25">
      <c r="A309" s="21" t="s">
        <v>569</v>
      </c>
      <c r="B309" s="2" t="s">
        <v>570</v>
      </c>
      <c r="C309" s="5">
        <f>4.9+(4.9*5/100)</f>
        <v>5.1450000000000005</v>
      </c>
      <c r="D309" s="5" t="s">
        <v>104</v>
      </c>
      <c r="E309" s="5">
        <f t="shared" si="15"/>
        <v>5.1450000000000005</v>
      </c>
    </row>
    <row r="310" spans="1:5" s="27" customFormat="1" ht="46.5">
      <c r="A310" s="21" t="s">
        <v>571</v>
      </c>
      <c r="B310" s="2" t="s">
        <v>572</v>
      </c>
      <c r="C310" s="5">
        <f>4.34+(4.34*5/100)</f>
        <v>4.5569999999999995</v>
      </c>
      <c r="D310" s="5" t="s">
        <v>104</v>
      </c>
      <c r="E310" s="5">
        <f t="shared" si="15"/>
        <v>4.5569999999999995</v>
      </c>
    </row>
    <row r="311" spans="1:5" s="27" customFormat="1" ht="23.25">
      <c r="A311" s="21" t="s">
        <v>131</v>
      </c>
      <c r="B311" s="2" t="s">
        <v>573</v>
      </c>
      <c r="C311" s="5">
        <f>6.43+(6.43*5/100)</f>
        <v>6.7515</v>
      </c>
      <c r="D311" s="5" t="s">
        <v>104</v>
      </c>
      <c r="E311" s="5">
        <f t="shared" si="15"/>
        <v>6.7515</v>
      </c>
    </row>
    <row r="312" spans="1:5" s="27" customFormat="1" ht="23.25">
      <c r="A312" s="21" t="s">
        <v>893</v>
      </c>
      <c r="B312" s="2" t="s">
        <v>574</v>
      </c>
      <c r="C312" s="5">
        <f>5.39+(5.39*5/100)</f>
        <v>5.6594999999999995</v>
      </c>
      <c r="D312" s="5" t="s">
        <v>104</v>
      </c>
      <c r="E312" s="5">
        <f t="shared" si="15"/>
        <v>5.6594999999999995</v>
      </c>
    </row>
    <row r="313" spans="1:5" s="27" customFormat="1" ht="23.25">
      <c r="A313" s="21" t="s">
        <v>133</v>
      </c>
      <c r="B313" s="2" t="s">
        <v>575</v>
      </c>
      <c r="C313" s="5">
        <f>5.39+(5.39*5/100)</f>
        <v>5.6594999999999995</v>
      </c>
      <c r="D313" s="5" t="s">
        <v>104</v>
      </c>
      <c r="E313" s="5">
        <f t="shared" si="15"/>
        <v>5.6594999999999995</v>
      </c>
    </row>
    <row r="314" spans="1:5" s="27" customFormat="1" ht="23.25">
      <c r="A314" s="21" t="s">
        <v>576</v>
      </c>
      <c r="B314" s="2" t="s">
        <v>577</v>
      </c>
      <c r="C314" s="5">
        <f>5.39+(5.39*5/100)</f>
        <v>5.6594999999999995</v>
      </c>
      <c r="D314" s="5" t="s">
        <v>104</v>
      </c>
      <c r="E314" s="5">
        <f t="shared" si="15"/>
        <v>5.6594999999999995</v>
      </c>
    </row>
    <row r="315" spans="1:5" s="27" customFormat="1" ht="23.25">
      <c r="A315" s="21" t="s">
        <v>578</v>
      </c>
      <c r="B315" s="2" t="s">
        <v>579</v>
      </c>
      <c r="C315" s="5">
        <f>6.43+(6.43*5/100)</f>
        <v>6.7515</v>
      </c>
      <c r="D315" s="5" t="s">
        <v>104</v>
      </c>
      <c r="E315" s="5">
        <f t="shared" si="15"/>
        <v>6.7515</v>
      </c>
    </row>
    <row r="316" spans="1:5" s="27" customFormat="1" ht="23.25">
      <c r="A316" s="21" t="s">
        <v>148</v>
      </c>
      <c r="B316" s="2" t="s">
        <v>580</v>
      </c>
      <c r="C316" s="5">
        <f>4.35+(4.35*5/100)</f>
        <v>4.5675</v>
      </c>
      <c r="D316" s="5" t="s">
        <v>104</v>
      </c>
      <c r="E316" s="5">
        <f t="shared" si="15"/>
        <v>4.5675</v>
      </c>
    </row>
    <row r="317" spans="1:5" s="27" customFormat="1" ht="23.25">
      <c r="A317" s="21" t="s">
        <v>581</v>
      </c>
      <c r="B317" s="2" t="s">
        <v>582</v>
      </c>
      <c r="C317" s="5">
        <f>8.52+(8.52*5/100)</f>
        <v>8.946</v>
      </c>
      <c r="D317" s="5" t="s">
        <v>104</v>
      </c>
      <c r="E317" s="5">
        <f t="shared" si="15"/>
        <v>8.946</v>
      </c>
    </row>
    <row r="318" spans="1:5" s="24" customFormat="1" ht="26.25">
      <c r="A318" s="21" t="s">
        <v>321</v>
      </c>
      <c r="B318" s="2" t="s">
        <v>583</v>
      </c>
      <c r="C318" s="5">
        <f>8.52+(8.52*5/100)</f>
        <v>8.946</v>
      </c>
      <c r="D318" s="5" t="s">
        <v>104</v>
      </c>
      <c r="E318" s="5">
        <f t="shared" si="15"/>
        <v>8.946</v>
      </c>
    </row>
    <row r="319" spans="1:5" s="27" customFormat="1" ht="26.25">
      <c r="A319" s="49" t="s">
        <v>320</v>
      </c>
      <c r="B319" s="49"/>
      <c r="C319" s="49"/>
      <c r="D319" s="49"/>
      <c r="E319" s="49"/>
    </row>
    <row r="320" spans="1:5" s="27" customFormat="1" ht="23.25">
      <c r="A320" s="21" t="s">
        <v>116</v>
      </c>
      <c r="B320" s="2" t="s">
        <v>1010</v>
      </c>
      <c r="C320" s="5">
        <f>1+(1*5/100)</f>
        <v>1.05</v>
      </c>
      <c r="D320" s="5" t="s">
        <v>104</v>
      </c>
      <c r="E320" s="5">
        <f>C320</f>
        <v>1.05</v>
      </c>
    </row>
    <row r="321" spans="1:5" s="27" customFormat="1" ht="46.5">
      <c r="A321" s="21" t="s">
        <v>121</v>
      </c>
      <c r="B321" s="2" t="s">
        <v>1116</v>
      </c>
      <c r="C321" s="5">
        <f>1+(1*5/100)</f>
        <v>1.05</v>
      </c>
      <c r="D321" s="5" t="s">
        <v>104</v>
      </c>
      <c r="E321" s="5">
        <f aca="true" t="shared" si="16" ref="E321:E345">C321</f>
        <v>1.05</v>
      </c>
    </row>
    <row r="322" spans="1:5" s="27" customFormat="1" ht="23.25">
      <c r="A322" s="21" t="s">
        <v>123</v>
      </c>
      <c r="B322" s="2" t="s">
        <v>1011</v>
      </c>
      <c r="C322" s="5">
        <f>1+(1*5/100)</f>
        <v>1.05</v>
      </c>
      <c r="D322" s="5" t="s">
        <v>104</v>
      </c>
      <c r="E322" s="5">
        <f t="shared" si="16"/>
        <v>1.05</v>
      </c>
    </row>
    <row r="323" spans="1:5" s="27" customFormat="1" ht="69.75">
      <c r="A323" s="21" t="s">
        <v>1117</v>
      </c>
      <c r="B323" s="2" t="s">
        <v>1012</v>
      </c>
      <c r="C323" s="5">
        <f>1.5+(1.5*5/100)</f>
        <v>1.575</v>
      </c>
      <c r="D323" s="5" t="s">
        <v>104</v>
      </c>
      <c r="E323" s="5">
        <f t="shared" si="16"/>
        <v>1.575</v>
      </c>
    </row>
    <row r="324" spans="1:5" s="27" customFormat="1" ht="23.25">
      <c r="A324" s="21" t="s">
        <v>549</v>
      </c>
      <c r="B324" s="2" t="s">
        <v>1013</v>
      </c>
      <c r="C324" s="5">
        <f>1.5+(1.5*5/100)</f>
        <v>1.575</v>
      </c>
      <c r="D324" s="5" t="s">
        <v>104</v>
      </c>
      <c r="E324" s="5">
        <f t="shared" si="16"/>
        <v>1.575</v>
      </c>
    </row>
    <row r="325" spans="1:5" s="27" customFormat="1" ht="23.25">
      <c r="A325" s="21" t="s">
        <v>1118</v>
      </c>
      <c r="B325" s="2" t="s">
        <v>1014</v>
      </c>
      <c r="C325" s="5">
        <f>2+(2*5/100)</f>
        <v>2.1</v>
      </c>
      <c r="D325" s="5" t="s">
        <v>104</v>
      </c>
      <c r="E325" s="5">
        <f t="shared" si="16"/>
        <v>2.1</v>
      </c>
    </row>
    <row r="326" spans="1:5" s="27" customFormat="1" ht="46.5">
      <c r="A326" s="21" t="s">
        <v>552</v>
      </c>
      <c r="B326" s="2" t="s">
        <v>1015</v>
      </c>
      <c r="C326" s="5">
        <f>1+(1*5/100)</f>
        <v>1.05</v>
      </c>
      <c r="D326" s="5" t="s">
        <v>104</v>
      </c>
      <c r="E326" s="5">
        <f t="shared" si="16"/>
        <v>1.05</v>
      </c>
    </row>
    <row r="327" spans="1:5" s="27" customFormat="1" ht="46.5">
      <c r="A327" s="21" t="s">
        <v>351</v>
      </c>
      <c r="B327" s="2" t="s">
        <v>1016</v>
      </c>
      <c r="C327" s="5">
        <f>1+(1*5/100)</f>
        <v>1.05</v>
      </c>
      <c r="D327" s="5" t="s">
        <v>104</v>
      </c>
      <c r="E327" s="5">
        <f t="shared" si="16"/>
        <v>1.05</v>
      </c>
    </row>
    <row r="328" spans="1:5" s="27" customFormat="1" ht="46.5">
      <c r="A328" s="21" t="s">
        <v>352</v>
      </c>
      <c r="B328" s="2" t="s">
        <v>353</v>
      </c>
      <c r="C328" s="5">
        <f>1+(1*5/100)</f>
        <v>1.05</v>
      </c>
      <c r="D328" s="5" t="s">
        <v>104</v>
      </c>
      <c r="E328" s="5">
        <f t="shared" si="16"/>
        <v>1.05</v>
      </c>
    </row>
    <row r="329" spans="1:5" s="27" customFormat="1" ht="23.25">
      <c r="A329" s="21" t="s">
        <v>354</v>
      </c>
      <c r="B329" s="2" t="s">
        <v>230</v>
      </c>
      <c r="C329" s="5">
        <f>1+(1*5/100)</f>
        <v>1.05</v>
      </c>
      <c r="D329" s="5" t="s">
        <v>104</v>
      </c>
      <c r="E329" s="5">
        <f t="shared" si="16"/>
        <v>1.05</v>
      </c>
    </row>
    <row r="330" spans="1:5" s="27" customFormat="1" ht="69.75" customHeight="1">
      <c r="A330" s="21" t="s">
        <v>355</v>
      </c>
      <c r="B330" s="2" t="s">
        <v>231</v>
      </c>
      <c r="C330" s="5">
        <f>2.51+(2.51*5/100)</f>
        <v>2.6355</v>
      </c>
      <c r="D330" s="5" t="s">
        <v>104</v>
      </c>
      <c r="E330" s="5">
        <f t="shared" si="16"/>
        <v>2.6355</v>
      </c>
    </row>
    <row r="331" spans="1:5" s="27" customFormat="1" ht="69.75">
      <c r="A331" s="21" t="s">
        <v>356</v>
      </c>
      <c r="B331" s="2" t="s">
        <v>232</v>
      </c>
      <c r="C331" s="5">
        <f>1.5+(1.5*5/100)</f>
        <v>1.575</v>
      </c>
      <c r="D331" s="5" t="s">
        <v>104</v>
      </c>
      <c r="E331" s="5">
        <f t="shared" si="16"/>
        <v>1.575</v>
      </c>
    </row>
    <row r="332" spans="1:5" s="27" customFormat="1" ht="23.25">
      <c r="A332" s="21" t="s">
        <v>357</v>
      </c>
      <c r="B332" s="2" t="s">
        <v>233</v>
      </c>
      <c r="C332" s="5">
        <f>1+(1*5/100)</f>
        <v>1.05</v>
      </c>
      <c r="D332" s="5" t="s">
        <v>104</v>
      </c>
      <c r="E332" s="5">
        <f t="shared" si="16"/>
        <v>1.05</v>
      </c>
    </row>
    <row r="333" spans="1:5" s="27" customFormat="1" ht="46.5">
      <c r="A333" s="21" t="s">
        <v>358</v>
      </c>
      <c r="B333" s="2" t="s">
        <v>412</v>
      </c>
      <c r="C333" s="5">
        <f>1+(1*5/100)</f>
        <v>1.05</v>
      </c>
      <c r="D333" s="5" t="s">
        <v>104</v>
      </c>
      <c r="E333" s="5">
        <f t="shared" si="16"/>
        <v>1.05</v>
      </c>
    </row>
    <row r="334" spans="1:5" s="27" customFormat="1" ht="23.25">
      <c r="A334" s="21" t="s">
        <v>359</v>
      </c>
      <c r="B334" s="2" t="s">
        <v>413</v>
      </c>
      <c r="C334" s="5">
        <f>1.5+(1.5*5/100)</f>
        <v>1.575</v>
      </c>
      <c r="D334" s="5" t="s">
        <v>104</v>
      </c>
      <c r="E334" s="5">
        <f t="shared" si="16"/>
        <v>1.575</v>
      </c>
    </row>
    <row r="335" spans="1:5" s="27" customFormat="1" ht="46.5">
      <c r="A335" s="21" t="s">
        <v>360</v>
      </c>
      <c r="B335" s="2" t="s">
        <v>414</v>
      </c>
      <c r="C335" s="5">
        <f>2+(2*5/100)</f>
        <v>2.1</v>
      </c>
      <c r="D335" s="5" t="s">
        <v>104</v>
      </c>
      <c r="E335" s="5">
        <f t="shared" si="16"/>
        <v>2.1</v>
      </c>
    </row>
    <row r="336" spans="1:5" s="27" customFormat="1" ht="69.75">
      <c r="A336" s="21" t="s">
        <v>361</v>
      </c>
      <c r="B336" s="2" t="s">
        <v>415</v>
      </c>
      <c r="C336" s="5">
        <f>2+(2*5/100)</f>
        <v>2.1</v>
      </c>
      <c r="D336" s="5" t="s">
        <v>104</v>
      </c>
      <c r="E336" s="5">
        <f t="shared" si="16"/>
        <v>2.1</v>
      </c>
    </row>
    <row r="337" spans="1:5" s="27" customFormat="1" ht="23.25">
      <c r="A337" s="21" t="s">
        <v>362</v>
      </c>
      <c r="B337" s="2" t="s">
        <v>416</v>
      </c>
      <c r="C337" s="5">
        <f>3.01+(3.01*5/100)</f>
        <v>3.1605</v>
      </c>
      <c r="D337" s="5" t="s">
        <v>104</v>
      </c>
      <c r="E337" s="5">
        <f t="shared" si="16"/>
        <v>3.1605</v>
      </c>
    </row>
    <row r="338" spans="1:5" s="27" customFormat="1" ht="69.75">
      <c r="A338" s="21" t="s">
        <v>331</v>
      </c>
      <c r="B338" s="2" t="s">
        <v>543</v>
      </c>
      <c r="C338" s="5">
        <f>2.51+(2.51*5/100)</f>
        <v>2.6355</v>
      </c>
      <c r="D338" s="5" t="s">
        <v>104</v>
      </c>
      <c r="E338" s="5">
        <f t="shared" si="16"/>
        <v>2.6355</v>
      </c>
    </row>
    <row r="339" spans="1:5" s="27" customFormat="1" ht="23.25">
      <c r="A339" s="21" t="s">
        <v>1077</v>
      </c>
      <c r="B339" s="2" t="s">
        <v>332</v>
      </c>
      <c r="C339" s="5">
        <f>1.5+(1.5*5/100)</f>
        <v>1.575</v>
      </c>
      <c r="D339" s="5" t="s">
        <v>104</v>
      </c>
      <c r="E339" s="5">
        <f t="shared" si="16"/>
        <v>1.575</v>
      </c>
    </row>
    <row r="340" spans="1:5" s="27" customFormat="1" ht="47.25" customHeight="1">
      <c r="A340" s="21" t="s">
        <v>333</v>
      </c>
      <c r="B340" s="2" t="s">
        <v>544</v>
      </c>
      <c r="C340" s="5">
        <f>2+(2*5/100)</f>
        <v>2.1</v>
      </c>
      <c r="D340" s="5" t="s">
        <v>104</v>
      </c>
      <c r="E340" s="5">
        <f t="shared" si="16"/>
        <v>2.1</v>
      </c>
    </row>
    <row r="341" spans="1:5" s="27" customFormat="1" ht="48.75" customHeight="1">
      <c r="A341" s="21" t="s">
        <v>334</v>
      </c>
      <c r="B341" s="2" t="s">
        <v>335</v>
      </c>
      <c r="C341" s="5">
        <f>1+(1*5/100)</f>
        <v>1.05</v>
      </c>
      <c r="D341" s="5" t="s">
        <v>104</v>
      </c>
      <c r="E341" s="5">
        <f t="shared" si="16"/>
        <v>1.05</v>
      </c>
    </row>
    <row r="342" spans="1:5" s="27" customFormat="1" ht="46.5">
      <c r="A342" s="21" t="s">
        <v>450</v>
      </c>
      <c r="B342" s="2" t="s">
        <v>545</v>
      </c>
      <c r="C342" s="5">
        <f>1+(1*5/100)</f>
        <v>1.05</v>
      </c>
      <c r="D342" s="5" t="s">
        <v>104</v>
      </c>
      <c r="E342" s="5">
        <f t="shared" si="16"/>
        <v>1.05</v>
      </c>
    </row>
    <row r="343" spans="1:5" s="27" customFormat="1" ht="46.5">
      <c r="A343" s="21" t="s">
        <v>451</v>
      </c>
      <c r="B343" s="2" t="s">
        <v>1023</v>
      </c>
      <c r="C343" s="5">
        <f>1+(1*5/100)</f>
        <v>1.05</v>
      </c>
      <c r="D343" s="5" t="s">
        <v>104</v>
      </c>
      <c r="E343" s="5">
        <f t="shared" si="16"/>
        <v>1.05</v>
      </c>
    </row>
    <row r="344" spans="1:5" s="27" customFormat="1" ht="24" customHeight="1">
      <c r="A344" s="21" t="s">
        <v>1024</v>
      </c>
      <c r="B344" s="2" t="s">
        <v>546</v>
      </c>
      <c r="C344" s="5">
        <f>1+(1*5/100)</f>
        <v>1.05</v>
      </c>
      <c r="D344" s="5" t="s">
        <v>104</v>
      </c>
      <c r="E344" s="5">
        <f t="shared" si="16"/>
        <v>1.05</v>
      </c>
    </row>
    <row r="345" spans="1:5" s="32" customFormat="1" ht="24" customHeight="1">
      <c r="A345" s="21" t="s">
        <v>1025</v>
      </c>
      <c r="B345" s="2" t="s">
        <v>547</v>
      </c>
      <c r="C345" s="5">
        <f>3.01+(3.01*5/100)</f>
        <v>3.1605</v>
      </c>
      <c r="D345" s="5" t="s">
        <v>104</v>
      </c>
      <c r="E345" s="5">
        <f t="shared" si="16"/>
        <v>3.1605</v>
      </c>
    </row>
    <row r="346" spans="1:5" s="32" customFormat="1" ht="24" customHeight="1">
      <c r="A346" s="22" t="s">
        <v>202</v>
      </c>
      <c r="B346" s="4" t="s">
        <v>650</v>
      </c>
      <c r="C346" s="7"/>
      <c r="D346" s="7"/>
      <c r="E346" s="7"/>
    </row>
    <row r="347" spans="1:5" s="32" customFormat="1" ht="24" customHeight="1">
      <c r="A347" s="22" t="s">
        <v>116</v>
      </c>
      <c r="B347" s="4" t="s">
        <v>651</v>
      </c>
      <c r="C347" s="7">
        <f>0.82+(0.82*5/100)</f>
        <v>0.861</v>
      </c>
      <c r="D347" s="7" t="s">
        <v>104</v>
      </c>
      <c r="E347" s="7">
        <f>C347</f>
        <v>0.861</v>
      </c>
    </row>
    <row r="348" spans="1:5" s="32" customFormat="1" ht="24" customHeight="1">
      <c r="A348" s="22" t="s">
        <v>121</v>
      </c>
      <c r="B348" s="4" t="s">
        <v>652</v>
      </c>
      <c r="C348" s="7">
        <f>1.23+(1.23*5/100)</f>
        <v>1.2915</v>
      </c>
      <c r="D348" s="7" t="s">
        <v>104</v>
      </c>
      <c r="E348" s="7">
        <f>C348</f>
        <v>1.2915</v>
      </c>
    </row>
    <row r="349" spans="1:5" s="32" customFormat="1" ht="24" customHeight="1">
      <c r="A349" s="22" t="s">
        <v>552</v>
      </c>
      <c r="B349" s="4" t="s">
        <v>653</v>
      </c>
      <c r="C349" s="7">
        <f>3.34+(3.34*5/100)</f>
        <v>3.5069999999999997</v>
      </c>
      <c r="D349" s="7" t="s">
        <v>104</v>
      </c>
      <c r="E349" s="7">
        <f>C349</f>
        <v>3.5069999999999997</v>
      </c>
    </row>
    <row r="350" spans="1:5" s="32" customFormat="1" ht="24" customHeight="1">
      <c r="A350" s="22" t="s">
        <v>351</v>
      </c>
      <c r="B350" s="4" t="s">
        <v>654</v>
      </c>
      <c r="C350" s="7">
        <f>2.36+(2.36*5/100)</f>
        <v>2.4779999999999998</v>
      </c>
      <c r="D350" s="7">
        <v>1.31</v>
      </c>
      <c r="E350" s="7">
        <f>C350+D350</f>
        <v>3.788</v>
      </c>
    </row>
    <row r="351" spans="1:5" s="32" customFormat="1" ht="24" customHeight="1">
      <c r="A351" s="22" t="s">
        <v>352</v>
      </c>
      <c r="B351" s="4" t="s">
        <v>655</v>
      </c>
      <c r="C351" s="7">
        <f>1.64+(1.64*5/100)</f>
        <v>1.722</v>
      </c>
      <c r="D351" s="7">
        <v>1.31</v>
      </c>
      <c r="E351" s="7">
        <f>C351+D351</f>
        <v>3.032</v>
      </c>
    </row>
    <row r="352" spans="1:5" s="32" customFormat="1" ht="24" customHeight="1">
      <c r="A352" s="22" t="s">
        <v>354</v>
      </c>
      <c r="B352" s="4" t="s">
        <v>656</v>
      </c>
      <c r="C352" s="7">
        <f>2.46+(2.46*5/100)</f>
        <v>2.583</v>
      </c>
      <c r="D352" s="7" t="s">
        <v>104</v>
      </c>
      <c r="E352" s="7">
        <f>C352</f>
        <v>2.583</v>
      </c>
    </row>
    <row r="353" spans="1:5" s="32" customFormat="1" ht="24" customHeight="1">
      <c r="A353" s="22" t="s">
        <v>355</v>
      </c>
      <c r="B353" s="4" t="s">
        <v>657</v>
      </c>
      <c r="C353" s="7">
        <f aca="true" t="shared" si="17" ref="C353:C358">1.64+(1.64*5/100)</f>
        <v>1.722</v>
      </c>
      <c r="D353" s="7" t="s">
        <v>104</v>
      </c>
      <c r="E353" s="7">
        <f aca="true" t="shared" si="18" ref="E353:E367">C353</f>
        <v>1.722</v>
      </c>
    </row>
    <row r="354" spans="1:5" s="32" customFormat="1" ht="24" customHeight="1">
      <c r="A354" s="22" t="s">
        <v>356</v>
      </c>
      <c r="B354" s="4" t="s">
        <v>658</v>
      </c>
      <c r="C354" s="7">
        <f t="shared" si="17"/>
        <v>1.722</v>
      </c>
      <c r="D354" s="7" t="s">
        <v>104</v>
      </c>
      <c r="E354" s="7">
        <f t="shared" si="18"/>
        <v>1.722</v>
      </c>
    </row>
    <row r="355" spans="1:5" s="32" customFormat="1" ht="24" customHeight="1">
      <c r="A355" s="22" t="s">
        <v>357</v>
      </c>
      <c r="B355" s="4" t="s">
        <v>659</v>
      </c>
      <c r="C355" s="7">
        <f t="shared" si="17"/>
        <v>1.722</v>
      </c>
      <c r="D355" s="7" t="s">
        <v>104</v>
      </c>
      <c r="E355" s="7">
        <f t="shared" si="18"/>
        <v>1.722</v>
      </c>
    </row>
    <row r="356" spans="1:5" s="32" customFormat="1" ht="24" customHeight="1">
      <c r="A356" s="22" t="s">
        <v>360</v>
      </c>
      <c r="B356" s="4" t="s">
        <v>660</v>
      </c>
      <c r="C356" s="7">
        <f t="shared" si="17"/>
        <v>1.722</v>
      </c>
      <c r="D356" s="7" t="s">
        <v>104</v>
      </c>
      <c r="E356" s="7">
        <f t="shared" si="18"/>
        <v>1.722</v>
      </c>
    </row>
    <row r="357" spans="1:5" s="32" customFormat="1" ht="24" customHeight="1">
      <c r="A357" s="22" t="s">
        <v>362</v>
      </c>
      <c r="B357" s="4" t="s">
        <v>661</v>
      </c>
      <c r="C357" s="7">
        <f t="shared" si="17"/>
        <v>1.722</v>
      </c>
      <c r="D357" s="7" t="s">
        <v>104</v>
      </c>
      <c r="E357" s="7">
        <f t="shared" si="18"/>
        <v>1.722</v>
      </c>
    </row>
    <row r="358" spans="1:5" s="32" customFormat="1" ht="24" customHeight="1">
      <c r="A358" s="22" t="s">
        <v>331</v>
      </c>
      <c r="B358" s="4" t="s">
        <v>662</v>
      </c>
      <c r="C358" s="7">
        <f t="shared" si="17"/>
        <v>1.722</v>
      </c>
      <c r="D358" s="7" t="s">
        <v>104</v>
      </c>
      <c r="E358" s="7">
        <f t="shared" si="18"/>
        <v>1.722</v>
      </c>
    </row>
    <row r="359" spans="1:5" s="32" customFormat="1" ht="24" customHeight="1">
      <c r="A359" s="22" t="s">
        <v>333</v>
      </c>
      <c r="B359" s="4" t="s">
        <v>663</v>
      </c>
      <c r="C359" s="7">
        <f>0.41+(0.41*5/100)</f>
        <v>0.4305</v>
      </c>
      <c r="D359" s="7" t="s">
        <v>104</v>
      </c>
      <c r="E359" s="7">
        <f t="shared" si="18"/>
        <v>0.4305</v>
      </c>
    </row>
    <row r="360" spans="1:5" s="32" customFormat="1" ht="24" customHeight="1">
      <c r="A360" s="22" t="s">
        <v>334</v>
      </c>
      <c r="B360" s="4" t="s">
        <v>664</v>
      </c>
      <c r="C360" s="7">
        <f>0.82+(0.82*5/100)</f>
        <v>0.861</v>
      </c>
      <c r="D360" s="7" t="s">
        <v>104</v>
      </c>
      <c r="E360" s="7">
        <f t="shared" si="18"/>
        <v>0.861</v>
      </c>
    </row>
    <row r="361" spans="1:5" s="32" customFormat="1" ht="24" customHeight="1">
      <c r="A361" s="22" t="s">
        <v>1024</v>
      </c>
      <c r="B361" s="4" t="s">
        <v>665</v>
      </c>
      <c r="C361" s="7">
        <f aca="true" t="shared" si="19" ref="C361:C366">0.82+(0.82*5/100)</f>
        <v>0.861</v>
      </c>
      <c r="D361" s="7" t="s">
        <v>104</v>
      </c>
      <c r="E361" s="7">
        <f t="shared" si="18"/>
        <v>0.861</v>
      </c>
    </row>
    <row r="362" spans="1:5" s="32" customFormat="1" ht="24" customHeight="1">
      <c r="A362" s="22" t="s">
        <v>1025</v>
      </c>
      <c r="B362" s="4" t="s">
        <v>666</v>
      </c>
      <c r="C362" s="7">
        <f t="shared" si="19"/>
        <v>0.861</v>
      </c>
      <c r="D362" s="7" t="s">
        <v>104</v>
      </c>
      <c r="E362" s="7">
        <f t="shared" si="18"/>
        <v>0.861</v>
      </c>
    </row>
    <row r="363" spans="1:5" s="32" customFormat="1" ht="24" customHeight="1">
      <c r="A363" s="22" t="s">
        <v>667</v>
      </c>
      <c r="B363" s="4" t="s">
        <v>668</v>
      </c>
      <c r="C363" s="7">
        <f t="shared" si="19"/>
        <v>0.861</v>
      </c>
      <c r="D363" s="7" t="s">
        <v>104</v>
      </c>
      <c r="E363" s="7">
        <f t="shared" si="18"/>
        <v>0.861</v>
      </c>
    </row>
    <row r="364" spans="1:5" s="32" customFormat="1" ht="24" customHeight="1">
      <c r="A364" s="22" t="s">
        <v>996</v>
      </c>
      <c r="B364" s="4" t="s">
        <v>669</v>
      </c>
      <c r="C364" s="7">
        <f t="shared" si="19"/>
        <v>0.861</v>
      </c>
      <c r="D364" s="7" t="s">
        <v>104</v>
      </c>
      <c r="E364" s="7">
        <f t="shared" si="18"/>
        <v>0.861</v>
      </c>
    </row>
    <row r="365" spans="1:5" s="32" customFormat="1" ht="24" customHeight="1">
      <c r="A365" s="22" t="s">
        <v>998</v>
      </c>
      <c r="B365" s="4" t="s">
        <v>670</v>
      </c>
      <c r="C365" s="7">
        <f>1.23+(1.23*5/100)</f>
        <v>1.2915</v>
      </c>
      <c r="D365" s="7" t="s">
        <v>104</v>
      </c>
      <c r="E365" s="7">
        <f t="shared" si="18"/>
        <v>1.2915</v>
      </c>
    </row>
    <row r="366" spans="1:5" s="32" customFormat="1" ht="24" customHeight="1">
      <c r="A366" s="22" t="s">
        <v>999</v>
      </c>
      <c r="B366" s="4" t="s">
        <v>671</v>
      </c>
      <c r="C366" s="7">
        <f t="shared" si="19"/>
        <v>0.861</v>
      </c>
      <c r="D366" s="7" t="s">
        <v>104</v>
      </c>
      <c r="E366" s="7">
        <f t="shared" si="18"/>
        <v>0.861</v>
      </c>
    </row>
    <row r="367" spans="1:5" s="32" customFormat="1" ht="24" customHeight="1">
      <c r="A367" s="22" t="s">
        <v>1002</v>
      </c>
      <c r="B367" s="4" t="s">
        <v>672</v>
      </c>
      <c r="C367" s="7">
        <f>1.23+(1.23*5/100)</f>
        <v>1.2915</v>
      </c>
      <c r="D367" s="7" t="s">
        <v>104</v>
      </c>
      <c r="E367" s="7">
        <f t="shared" si="18"/>
        <v>1.2915</v>
      </c>
    </row>
    <row r="368" spans="1:5" s="32" customFormat="1" ht="24" customHeight="1">
      <c r="A368" s="22" t="s">
        <v>557</v>
      </c>
      <c r="B368" s="4" t="s">
        <v>673</v>
      </c>
      <c r="C368" s="7"/>
      <c r="D368" s="7"/>
      <c r="E368" s="7"/>
    </row>
    <row r="369" spans="1:5" s="32" customFormat="1" ht="24" customHeight="1">
      <c r="A369" s="22" t="s">
        <v>127</v>
      </c>
      <c r="B369" s="4" t="s">
        <v>674</v>
      </c>
      <c r="C369" s="7">
        <f>0.82+(0.82*5/100)</f>
        <v>0.861</v>
      </c>
      <c r="D369" s="7" t="s">
        <v>104</v>
      </c>
      <c r="E369" s="7">
        <f>C369</f>
        <v>0.861</v>
      </c>
    </row>
    <row r="370" spans="1:5" s="32" customFormat="1" ht="24" customHeight="1">
      <c r="A370" s="22" t="s">
        <v>129</v>
      </c>
      <c r="B370" s="4" t="s">
        <v>675</v>
      </c>
      <c r="C370" s="7">
        <f>0.82+(0.82*5/100)</f>
        <v>0.861</v>
      </c>
      <c r="D370" s="7" t="s">
        <v>104</v>
      </c>
      <c r="E370" s="7">
        <f>C370</f>
        <v>0.861</v>
      </c>
    </row>
    <row r="371" spans="1:5" s="32" customFormat="1" ht="24" customHeight="1">
      <c r="A371" s="22" t="s">
        <v>265</v>
      </c>
      <c r="B371" s="4" t="s">
        <v>676</v>
      </c>
      <c r="C371" s="7">
        <f>0.82+(0.82*5/100)</f>
        <v>0.861</v>
      </c>
      <c r="D371" s="7" t="s">
        <v>104</v>
      </c>
      <c r="E371" s="7">
        <f>C371</f>
        <v>0.861</v>
      </c>
    </row>
    <row r="372" spans="1:5" s="32" customFormat="1" ht="24" customHeight="1">
      <c r="A372" s="22" t="s">
        <v>267</v>
      </c>
      <c r="B372" s="4" t="s">
        <v>677</v>
      </c>
      <c r="C372" s="7">
        <f>1.64+(1.64*5/100)</f>
        <v>1.722</v>
      </c>
      <c r="D372" s="7" t="s">
        <v>104</v>
      </c>
      <c r="E372" s="7">
        <f>C372</f>
        <v>1.722</v>
      </c>
    </row>
    <row r="373" spans="1:5" s="32" customFormat="1" ht="24" customHeight="1">
      <c r="A373" s="22" t="s">
        <v>269</v>
      </c>
      <c r="B373" s="4" t="s">
        <v>678</v>
      </c>
      <c r="C373" s="7">
        <f>0.82+(0.82*5/100)</f>
        <v>0.861</v>
      </c>
      <c r="D373" s="7">
        <v>0.05</v>
      </c>
      <c r="E373" s="7">
        <f>C373+D373</f>
        <v>0.911</v>
      </c>
    </row>
    <row r="374" spans="1:5" s="32" customFormat="1" ht="24" customHeight="1">
      <c r="A374" s="22" t="s">
        <v>443</v>
      </c>
      <c r="B374" s="4" t="s">
        <v>679</v>
      </c>
      <c r="C374" s="7">
        <f>0.82+(0.82*5/100)</f>
        <v>0.861</v>
      </c>
      <c r="D374" s="7">
        <v>0.17</v>
      </c>
      <c r="E374" s="7">
        <f>C374+D374</f>
        <v>1.031</v>
      </c>
    </row>
    <row r="375" spans="1:5" s="32" customFormat="1" ht="24" customHeight="1">
      <c r="A375" s="22" t="s">
        <v>444</v>
      </c>
      <c r="B375" s="4" t="s">
        <v>445</v>
      </c>
      <c r="C375" s="7">
        <f>1.64+(1.64*5/100)</f>
        <v>1.722</v>
      </c>
      <c r="D375" s="7">
        <v>0.14</v>
      </c>
      <c r="E375" s="7">
        <f>C375+D375</f>
        <v>1.862</v>
      </c>
    </row>
    <row r="376" spans="1:5" s="32" customFormat="1" ht="24" customHeight="1">
      <c r="A376" s="22" t="s">
        <v>1109</v>
      </c>
      <c r="B376" s="4" t="s">
        <v>680</v>
      </c>
      <c r="C376" s="7"/>
      <c r="D376" s="7"/>
      <c r="E376" s="7"/>
    </row>
    <row r="377" spans="1:5" s="32" customFormat="1" ht="24" customHeight="1">
      <c r="A377" s="22" t="s">
        <v>131</v>
      </c>
      <c r="B377" s="4" t="s">
        <v>681</v>
      </c>
      <c r="C377" s="7">
        <f>1.64+(1.64*5/100)</f>
        <v>1.722</v>
      </c>
      <c r="D377" s="7" t="s">
        <v>104</v>
      </c>
      <c r="E377" s="7">
        <f>C377</f>
        <v>1.722</v>
      </c>
    </row>
    <row r="378" spans="1:5" s="32" customFormat="1" ht="24" customHeight="1">
      <c r="A378" s="22" t="s">
        <v>133</v>
      </c>
      <c r="B378" s="4" t="s">
        <v>682</v>
      </c>
      <c r="C378" s="7">
        <f>1.64+(1.64*5/100)</f>
        <v>1.722</v>
      </c>
      <c r="D378" s="7" t="s">
        <v>104</v>
      </c>
      <c r="E378" s="7">
        <f>C378</f>
        <v>1.722</v>
      </c>
    </row>
    <row r="379" spans="1:5" s="32" customFormat="1" ht="24" customHeight="1">
      <c r="A379" s="22" t="s">
        <v>148</v>
      </c>
      <c r="B379" s="4" t="s">
        <v>683</v>
      </c>
      <c r="C379" s="7">
        <f>1.23+(1.23*5/100)</f>
        <v>1.2915</v>
      </c>
      <c r="D379" s="7" t="s">
        <v>104</v>
      </c>
      <c r="E379" s="7">
        <f>C379</f>
        <v>1.2915</v>
      </c>
    </row>
    <row r="380" spans="1:5" s="32" customFormat="1" ht="24" customHeight="1">
      <c r="A380" s="22" t="s">
        <v>175</v>
      </c>
      <c r="B380" s="4" t="s">
        <v>684</v>
      </c>
      <c r="C380" s="7"/>
      <c r="D380" s="7"/>
      <c r="E380" s="7"/>
    </row>
    <row r="381" spans="1:5" s="32" customFormat="1" ht="24" customHeight="1">
      <c r="A381" s="22" t="s">
        <v>594</v>
      </c>
      <c r="B381" s="4" t="s">
        <v>685</v>
      </c>
      <c r="C381" s="7">
        <f>0.41+(0.41*5/100)</f>
        <v>0.4305</v>
      </c>
      <c r="D381" s="7" t="s">
        <v>104</v>
      </c>
      <c r="E381" s="7">
        <f>C381</f>
        <v>0.4305</v>
      </c>
    </row>
    <row r="382" spans="1:5" s="32" customFormat="1" ht="24" customHeight="1">
      <c r="A382" s="22" t="s">
        <v>686</v>
      </c>
      <c r="B382" s="4" t="s">
        <v>687</v>
      </c>
      <c r="C382" s="7">
        <f>0.82+(0.82*5/100)</f>
        <v>0.861</v>
      </c>
      <c r="D382" s="7" t="s">
        <v>104</v>
      </c>
      <c r="E382" s="7">
        <f>C382</f>
        <v>0.861</v>
      </c>
    </row>
    <row r="383" spans="1:5" s="32" customFormat="1" ht="24" customHeight="1">
      <c r="A383" s="22" t="s">
        <v>688</v>
      </c>
      <c r="B383" s="4" t="s">
        <v>689</v>
      </c>
      <c r="C383" s="7">
        <f>0.82+(0.82*5/100)</f>
        <v>0.861</v>
      </c>
      <c r="D383" s="7" t="s">
        <v>104</v>
      </c>
      <c r="E383" s="7">
        <f>C383</f>
        <v>0.861</v>
      </c>
    </row>
    <row r="384" spans="1:5" s="32" customFormat="1" ht="24" customHeight="1">
      <c r="A384" s="22" t="s">
        <v>177</v>
      </c>
      <c r="B384" s="4" t="s">
        <v>690</v>
      </c>
      <c r="C384" s="7"/>
      <c r="D384" s="7"/>
      <c r="E384" s="7"/>
    </row>
    <row r="385" spans="1:5" s="32" customFormat="1" ht="24" customHeight="1">
      <c r="A385" s="22" t="s">
        <v>244</v>
      </c>
      <c r="B385" s="4" t="s">
        <v>370</v>
      </c>
      <c r="C385" s="7">
        <f>0.82+(0.82*5/100)</f>
        <v>0.861</v>
      </c>
      <c r="D385" s="7">
        <v>0.03</v>
      </c>
      <c r="E385" s="7">
        <f>C385+D385</f>
        <v>0.891</v>
      </c>
    </row>
    <row r="386" spans="1:5" s="32" customFormat="1" ht="24" customHeight="1">
      <c r="A386" s="22" t="s">
        <v>181</v>
      </c>
      <c r="B386" s="4" t="s">
        <v>691</v>
      </c>
      <c r="C386" s="7"/>
      <c r="D386" s="7"/>
      <c r="E386" s="7"/>
    </row>
    <row r="387" spans="1:5" s="32" customFormat="1" ht="24" customHeight="1">
      <c r="A387" s="22" t="s">
        <v>692</v>
      </c>
      <c r="B387" s="4" t="s">
        <v>693</v>
      </c>
      <c r="C387" s="7">
        <f>1.64+(1.64*5/100)</f>
        <v>1.722</v>
      </c>
      <c r="D387" s="7" t="s">
        <v>104</v>
      </c>
      <c r="E387" s="7">
        <f aca="true" t="shared" si="20" ref="E387:E392">C387</f>
        <v>1.722</v>
      </c>
    </row>
    <row r="388" spans="1:5" s="32" customFormat="1" ht="24" customHeight="1">
      <c r="A388" s="22" t="s">
        <v>321</v>
      </c>
      <c r="B388" s="4" t="s">
        <v>1111</v>
      </c>
      <c r="C388" s="7">
        <f>1.64+(1.64*5/100)</f>
        <v>1.722</v>
      </c>
      <c r="D388" s="7" t="s">
        <v>104</v>
      </c>
      <c r="E388" s="7">
        <f t="shared" si="20"/>
        <v>1.722</v>
      </c>
    </row>
    <row r="389" spans="1:5" s="32" customFormat="1" ht="24" customHeight="1">
      <c r="A389" s="22" t="s">
        <v>1112</v>
      </c>
      <c r="B389" s="4" t="s">
        <v>1113</v>
      </c>
      <c r="C389" s="7">
        <f>2.05+(2.05*5/100)</f>
        <v>2.1525</v>
      </c>
      <c r="D389" s="7" t="s">
        <v>104</v>
      </c>
      <c r="E389" s="7">
        <f t="shared" si="20"/>
        <v>2.1525</v>
      </c>
    </row>
    <row r="390" spans="1:5" s="32" customFormat="1" ht="24" customHeight="1">
      <c r="A390" s="22" t="s">
        <v>145</v>
      </c>
      <c r="B390" s="4" t="s">
        <v>1114</v>
      </c>
      <c r="C390" s="7">
        <f>3.27+(3.27*5/100)</f>
        <v>3.4335</v>
      </c>
      <c r="D390" s="7" t="s">
        <v>104</v>
      </c>
      <c r="E390" s="7">
        <f t="shared" si="20"/>
        <v>3.4335</v>
      </c>
    </row>
    <row r="391" spans="1:5" s="32" customFormat="1" ht="24" customHeight="1">
      <c r="A391" s="22" t="s">
        <v>1115</v>
      </c>
      <c r="B391" s="4" t="s">
        <v>1009</v>
      </c>
      <c r="C391" s="7">
        <f>2.68+(2.68*5/100)</f>
        <v>2.814</v>
      </c>
      <c r="D391" s="7" t="s">
        <v>104</v>
      </c>
      <c r="E391" s="7">
        <f t="shared" si="20"/>
        <v>2.814</v>
      </c>
    </row>
    <row r="392" spans="1:5" s="32" customFormat="1" ht="24" customHeight="1">
      <c r="A392" s="22" t="s">
        <v>961</v>
      </c>
      <c r="B392" s="4" t="s">
        <v>962</v>
      </c>
      <c r="C392" s="7">
        <f>1.16+(1.16*5/100)</f>
        <v>1.218</v>
      </c>
      <c r="D392" s="7" t="s">
        <v>104</v>
      </c>
      <c r="E392" s="7">
        <f t="shared" si="20"/>
        <v>1.218</v>
      </c>
    </row>
    <row r="393" spans="1:5" s="27" customFormat="1" ht="26.25">
      <c r="A393" s="49" t="s">
        <v>1026</v>
      </c>
      <c r="B393" s="49"/>
      <c r="C393" s="49"/>
      <c r="D393" s="49"/>
      <c r="E393" s="49"/>
    </row>
    <row r="394" spans="1:5" s="27" customFormat="1" ht="23.25">
      <c r="A394" s="21" t="s">
        <v>973</v>
      </c>
      <c r="B394" s="2" t="s">
        <v>1027</v>
      </c>
      <c r="C394" s="5"/>
      <c r="D394" s="6"/>
      <c r="E394" s="5"/>
    </row>
    <row r="395" spans="1:5" s="27" customFormat="1" ht="23.25">
      <c r="A395" s="21" t="s">
        <v>1028</v>
      </c>
      <c r="B395" s="2" t="s">
        <v>1029</v>
      </c>
      <c r="C395" s="5">
        <f>3.38+(3.38*5/100)</f>
        <v>3.549</v>
      </c>
      <c r="D395" s="5" t="s">
        <v>104</v>
      </c>
      <c r="E395" s="5">
        <f>C395</f>
        <v>3.549</v>
      </c>
    </row>
    <row r="396" spans="1:5" s="27" customFormat="1" ht="23.25">
      <c r="A396" s="21" t="s">
        <v>1030</v>
      </c>
      <c r="B396" s="53" t="s">
        <v>1031</v>
      </c>
      <c r="C396" s="53"/>
      <c r="D396" s="53"/>
      <c r="E396" s="53"/>
    </row>
    <row r="397" spans="1:5" s="27" customFormat="1" ht="23.25">
      <c r="A397" s="21" t="s">
        <v>1032</v>
      </c>
      <c r="B397" s="2" t="s">
        <v>1033</v>
      </c>
      <c r="C397" s="5">
        <f>3.38+(3.38*5/100)</f>
        <v>3.549</v>
      </c>
      <c r="D397" s="5">
        <v>0.67</v>
      </c>
      <c r="E397" s="5">
        <f>C397+D397</f>
        <v>4.219</v>
      </c>
    </row>
    <row r="398" spans="1:5" s="27" customFormat="1" ht="23.25">
      <c r="A398" s="21" t="s">
        <v>1034</v>
      </c>
      <c r="B398" s="2" t="s">
        <v>1035</v>
      </c>
      <c r="C398" s="5">
        <f>5.07+(5.07*5/100)</f>
        <v>5.3235</v>
      </c>
      <c r="D398" s="5">
        <v>1.33</v>
      </c>
      <c r="E398" s="5">
        <f>C398+D398</f>
        <v>6.6535</v>
      </c>
    </row>
    <row r="399" spans="1:5" s="27" customFormat="1" ht="23.25">
      <c r="A399" s="21" t="s">
        <v>1036</v>
      </c>
      <c r="B399" s="2" t="s">
        <v>1037</v>
      </c>
      <c r="C399" s="5">
        <f>5.07+(5.07*5/100)</f>
        <v>5.3235</v>
      </c>
      <c r="D399" s="5">
        <v>1.31</v>
      </c>
      <c r="E399" s="5">
        <f>C399+D399</f>
        <v>6.6335</v>
      </c>
    </row>
    <row r="400" spans="1:5" s="27" customFormat="1" ht="23.25">
      <c r="A400" s="21" t="s">
        <v>1038</v>
      </c>
      <c r="B400" s="2" t="s">
        <v>1039</v>
      </c>
      <c r="C400" s="5">
        <f>3.38+(3.38*5/100)</f>
        <v>3.549</v>
      </c>
      <c r="D400" s="5">
        <v>0.44</v>
      </c>
      <c r="E400" s="5">
        <f>C400+D400</f>
        <v>3.989</v>
      </c>
    </row>
    <row r="401" spans="1:5" s="27" customFormat="1" ht="23.25">
      <c r="A401" s="21" t="s">
        <v>1040</v>
      </c>
      <c r="B401" s="2" t="s">
        <v>1041</v>
      </c>
      <c r="C401" s="5"/>
      <c r="D401" s="5"/>
      <c r="E401" s="5"/>
    </row>
    <row r="402" spans="1:5" s="27" customFormat="1" ht="23.25">
      <c r="A402" s="21" t="s">
        <v>1042</v>
      </c>
      <c r="B402" s="2" t="s">
        <v>1043</v>
      </c>
      <c r="C402" s="5">
        <f>1.01+(1.01*5/100)</f>
        <v>1.0605</v>
      </c>
      <c r="D402" s="5" t="s">
        <v>104</v>
      </c>
      <c r="E402" s="5">
        <f>C402</f>
        <v>1.0605</v>
      </c>
    </row>
    <row r="403" spans="1:5" s="27" customFormat="1" ht="23.25">
      <c r="A403" s="21" t="s">
        <v>1044</v>
      </c>
      <c r="B403" s="2" t="s">
        <v>1045</v>
      </c>
      <c r="C403" s="5">
        <f>0.38+(0.38*5/100)</f>
        <v>0.399</v>
      </c>
      <c r="D403" s="5" t="s">
        <v>104</v>
      </c>
      <c r="E403" s="5">
        <f>C403</f>
        <v>0.399</v>
      </c>
    </row>
    <row r="404" spans="1:5" s="27" customFormat="1" ht="23.25">
      <c r="A404" s="21" t="s">
        <v>1046</v>
      </c>
      <c r="B404" s="2" t="s">
        <v>1047</v>
      </c>
      <c r="C404" s="5">
        <f>3.38+(3.38*5/100)</f>
        <v>3.549</v>
      </c>
      <c r="D404" s="5" t="s">
        <v>104</v>
      </c>
      <c r="E404" s="5">
        <f>C404</f>
        <v>3.549</v>
      </c>
    </row>
    <row r="405" spans="1:5" s="27" customFormat="1" ht="24" customHeight="1">
      <c r="A405" s="21" t="s">
        <v>1048</v>
      </c>
      <c r="B405" s="2" t="s">
        <v>1049</v>
      </c>
      <c r="C405" s="5">
        <f>5.07+(5.07*5/100)</f>
        <v>5.3235</v>
      </c>
      <c r="D405" s="5">
        <v>0.67</v>
      </c>
      <c r="E405" s="5">
        <f>C405+D405</f>
        <v>5.9935</v>
      </c>
    </row>
    <row r="406" spans="1:5" s="27" customFormat="1" ht="25.5" customHeight="1">
      <c r="A406" s="21" t="s">
        <v>1050</v>
      </c>
      <c r="B406" s="2" t="s">
        <v>1051</v>
      </c>
      <c r="C406" s="5">
        <f>6.76+(6.76*5/100)</f>
        <v>7.098</v>
      </c>
      <c r="D406" s="5" t="s">
        <v>104</v>
      </c>
      <c r="E406" s="5">
        <f>C406</f>
        <v>7.098</v>
      </c>
    </row>
    <row r="407" spans="1:5" s="27" customFormat="1" ht="23.25">
      <c r="A407" s="21" t="s">
        <v>1052</v>
      </c>
      <c r="B407" s="2" t="s">
        <v>1053</v>
      </c>
      <c r="C407" s="5">
        <f>10.14+(10.14*5/100)</f>
        <v>10.647</v>
      </c>
      <c r="D407" s="5">
        <v>0.87</v>
      </c>
      <c r="E407" s="5">
        <f>C407+D407</f>
        <v>11.517</v>
      </c>
    </row>
    <row r="408" spans="1:5" s="27" customFormat="1" ht="23.25">
      <c r="A408" s="21" t="s">
        <v>1054</v>
      </c>
      <c r="B408" s="2" t="s">
        <v>1055</v>
      </c>
      <c r="C408" s="5">
        <f>16.9+(16.9*5/100)</f>
        <v>17.744999999999997</v>
      </c>
      <c r="D408" s="5">
        <v>0.87</v>
      </c>
      <c r="E408" s="5">
        <f>C408+D408</f>
        <v>18.615</v>
      </c>
    </row>
    <row r="409" spans="1:5" s="27" customFormat="1" ht="23.25">
      <c r="A409" s="21" t="s">
        <v>1056</v>
      </c>
      <c r="B409" s="2" t="s">
        <v>1057</v>
      </c>
      <c r="C409" s="5">
        <f>13.52+(13.52*5/100)</f>
        <v>14.196</v>
      </c>
      <c r="D409" s="5" t="s">
        <v>104</v>
      </c>
      <c r="E409" s="5">
        <f>C409</f>
        <v>14.196</v>
      </c>
    </row>
    <row r="410" spans="1:5" s="27" customFormat="1" ht="23.25">
      <c r="A410" s="21" t="s">
        <v>1058</v>
      </c>
      <c r="B410" s="2" t="s">
        <v>1059</v>
      </c>
      <c r="C410" s="5"/>
      <c r="D410" s="6"/>
      <c r="E410" s="5"/>
    </row>
    <row r="411" spans="1:5" s="27" customFormat="1" ht="23.25">
      <c r="A411" s="21"/>
      <c r="B411" s="2" t="s">
        <v>234</v>
      </c>
      <c r="C411" s="5"/>
      <c r="D411" s="6"/>
      <c r="E411" s="5"/>
    </row>
    <row r="412" spans="1:5" s="27" customFormat="1" ht="23.25">
      <c r="A412" s="21" t="s">
        <v>1060</v>
      </c>
      <c r="B412" s="2" t="s">
        <v>1043</v>
      </c>
      <c r="C412" s="5">
        <f>3.38+(3.38*5/100)</f>
        <v>3.549</v>
      </c>
      <c r="D412" s="5">
        <v>0.27</v>
      </c>
      <c r="E412" s="5">
        <f>C412+D412</f>
        <v>3.819</v>
      </c>
    </row>
    <row r="413" spans="1:5" s="27" customFormat="1" ht="23.25">
      <c r="A413" s="21" t="s">
        <v>1061</v>
      </c>
      <c r="B413" s="2" t="s">
        <v>1035</v>
      </c>
      <c r="C413" s="5">
        <f>5.07+(5.07*5/100)</f>
        <v>5.3235</v>
      </c>
      <c r="D413" s="5">
        <v>0.54</v>
      </c>
      <c r="E413" s="5">
        <f>C413+D413</f>
        <v>5.8635</v>
      </c>
    </row>
    <row r="414" spans="1:5" s="27" customFormat="1" ht="23.25">
      <c r="A414" s="21"/>
      <c r="B414" s="2" t="s">
        <v>235</v>
      </c>
      <c r="C414" s="5"/>
      <c r="D414" s="5"/>
      <c r="E414" s="5"/>
    </row>
    <row r="415" spans="1:5" s="27" customFormat="1" ht="23.25">
      <c r="A415" s="21" t="s">
        <v>1060</v>
      </c>
      <c r="B415" s="2" t="s">
        <v>1043</v>
      </c>
      <c r="C415" s="5">
        <f>3.38+(3.38*5/100)</f>
        <v>3.549</v>
      </c>
      <c r="D415" s="5">
        <v>0.44</v>
      </c>
      <c r="E415" s="5">
        <f>C415+D415</f>
        <v>3.989</v>
      </c>
    </row>
    <row r="416" spans="1:5" s="27" customFormat="1" ht="23.25">
      <c r="A416" s="21" t="s">
        <v>1061</v>
      </c>
      <c r="B416" s="2" t="s">
        <v>1035</v>
      </c>
      <c r="C416" s="5">
        <f>5.07+(5.07*5/100)</f>
        <v>5.3235</v>
      </c>
      <c r="D416" s="5">
        <v>0.79</v>
      </c>
      <c r="E416" s="5">
        <f>C416+D416</f>
        <v>6.1135</v>
      </c>
    </row>
    <row r="417" spans="1:5" s="27" customFormat="1" ht="23.25">
      <c r="A417" s="21"/>
      <c r="B417" s="2" t="s">
        <v>236</v>
      </c>
      <c r="C417" s="5"/>
      <c r="D417" s="5"/>
      <c r="E417" s="5"/>
    </row>
    <row r="418" spans="1:5" s="27" customFormat="1" ht="23.25">
      <c r="A418" s="21" t="s">
        <v>1060</v>
      </c>
      <c r="B418" s="2" t="s">
        <v>1043</v>
      </c>
      <c r="C418" s="5">
        <f>3.38+(3.38*5/100)</f>
        <v>3.549</v>
      </c>
      <c r="D418" s="5">
        <v>0.44</v>
      </c>
      <c r="E418" s="5">
        <f>C418+D418</f>
        <v>3.989</v>
      </c>
    </row>
    <row r="419" spans="1:5" s="27" customFormat="1" ht="23.25">
      <c r="A419" s="21" t="s">
        <v>1061</v>
      </c>
      <c r="B419" s="2" t="s">
        <v>1035</v>
      </c>
      <c r="C419" s="5">
        <f>5.07+(5.07*5/100)</f>
        <v>5.3235</v>
      </c>
      <c r="D419" s="5">
        <v>0.79</v>
      </c>
      <c r="E419" s="5">
        <f>C419+D419</f>
        <v>6.1135</v>
      </c>
    </row>
    <row r="420" spans="1:5" s="27" customFormat="1" ht="23.25">
      <c r="A420" s="21"/>
      <c r="B420" s="2" t="s">
        <v>194</v>
      </c>
      <c r="C420" s="5"/>
      <c r="D420" s="6"/>
      <c r="E420" s="5"/>
    </row>
    <row r="421" spans="1:5" s="27" customFormat="1" ht="23.25">
      <c r="A421" s="21" t="s">
        <v>1060</v>
      </c>
      <c r="B421" s="2" t="s">
        <v>1043</v>
      </c>
      <c r="C421" s="5">
        <f>3.38+(3.38*5/100)</f>
        <v>3.549</v>
      </c>
      <c r="D421" s="5">
        <v>0.67</v>
      </c>
      <c r="E421" s="5">
        <f>C421+D421</f>
        <v>4.219</v>
      </c>
    </row>
    <row r="422" spans="1:5" s="27" customFormat="1" ht="23.25">
      <c r="A422" s="21" t="s">
        <v>1061</v>
      </c>
      <c r="B422" s="2" t="s">
        <v>1035</v>
      </c>
      <c r="C422" s="5">
        <f>5.07+(5.07*5/100)</f>
        <v>5.3235</v>
      </c>
      <c r="D422" s="5">
        <v>1.03</v>
      </c>
      <c r="E422" s="5">
        <f>C422+D422</f>
        <v>6.3535</v>
      </c>
    </row>
    <row r="423" spans="1:5" s="27" customFormat="1" ht="23.25">
      <c r="A423" s="21" t="s">
        <v>1062</v>
      </c>
      <c r="B423" s="2" t="s">
        <v>1063</v>
      </c>
      <c r="C423" s="5"/>
      <c r="D423" s="6"/>
      <c r="E423" s="5"/>
    </row>
    <row r="424" spans="1:5" s="27" customFormat="1" ht="23.25">
      <c r="A424" s="21"/>
      <c r="B424" s="2" t="s">
        <v>195</v>
      </c>
      <c r="C424" s="5"/>
      <c r="D424" s="6"/>
      <c r="E424" s="5"/>
    </row>
    <row r="425" spans="1:5" s="27" customFormat="1" ht="23.25">
      <c r="A425" s="21" t="s">
        <v>1064</v>
      </c>
      <c r="B425" s="2" t="s">
        <v>1065</v>
      </c>
      <c r="C425" s="5">
        <f>5.07+(5.07*5/100)</f>
        <v>5.3235</v>
      </c>
      <c r="D425" s="5">
        <v>0.15</v>
      </c>
      <c r="E425" s="5">
        <f>C425+D425</f>
        <v>5.4735000000000005</v>
      </c>
    </row>
    <row r="426" spans="1:5" s="27" customFormat="1" ht="23.25">
      <c r="A426" s="21"/>
      <c r="B426" s="2" t="s">
        <v>196</v>
      </c>
      <c r="C426" s="5"/>
      <c r="D426" s="5"/>
      <c r="E426" s="5"/>
    </row>
    <row r="427" spans="1:5" s="27" customFormat="1" ht="23.25">
      <c r="A427" s="21" t="s">
        <v>1064</v>
      </c>
      <c r="B427" s="2" t="s">
        <v>1065</v>
      </c>
      <c r="C427" s="5">
        <f>5.07+(5.07*5/100)</f>
        <v>5.3235</v>
      </c>
      <c r="D427" s="5">
        <v>0.27</v>
      </c>
      <c r="E427" s="5">
        <f>C427+D427</f>
        <v>5.593500000000001</v>
      </c>
    </row>
    <row r="428" spans="1:5" s="27" customFormat="1" ht="23.25">
      <c r="A428" s="21"/>
      <c r="B428" s="2" t="s">
        <v>197</v>
      </c>
      <c r="C428" s="5"/>
      <c r="D428" s="5"/>
      <c r="E428" s="5"/>
    </row>
    <row r="429" spans="1:5" s="27" customFormat="1" ht="23.25">
      <c r="A429" s="21" t="s">
        <v>1064</v>
      </c>
      <c r="B429" s="2" t="s">
        <v>1065</v>
      </c>
      <c r="C429" s="5">
        <f>5.07+(5.07*5/100)</f>
        <v>5.3235</v>
      </c>
      <c r="D429" s="5">
        <v>0.27</v>
      </c>
      <c r="E429" s="5">
        <f>C429+D429</f>
        <v>5.593500000000001</v>
      </c>
    </row>
    <row r="430" spans="1:5" s="27" customFormat="1" ht="23.25">
      <c r="A430" s="21"/>
      <c r="B430" s="2" t="s">
        <v>198</v>
      </c>
      <c r="C430" s="5"/>
      <c r="D430" s="6"/>
      <c r="E430" s="5"/>
    </row>
    <row r="431" spans="1:5" s="27" customFormat="1" ht="23.25">
      <c r="A431" s="21" t="s">
        <v>1064</v>
      </c>
      <c r="B431" s="2" t="s">
        <v>1065</v>
      </c>
      <c r="C431" s="5">
        <f>5.07+(5.07*5/100)</f>
        <v>5.3235</v>
      </c>
      <c r="D431" s="5">
        <v>0.27</v>
      </c>
      <c r="E431" s="5">
        <f>C431+D431</f>
        <v>5.593500000000001</v>
      </c>
    </row>
    <row r="432" spans="1:5" s="27" customFormat="1" ht="23.25">
      <c r="A432" s="21"/>
      <c r="B432" s="2" t="s">
        <v>342</v>
      </c>
      <c r="C432" s="5"/>
      <c r="D432" s="5"/>
      <c r="E432" s="5"/>
    </row>
    <row r="433" spans="1:5" s="27" customFormat="1" ht="23.25">
      <c r="A433" s="21" t="s">
        <v>1064</v>
      </c>
      <c r="B433" s="2" t="s">
        <v>1065</v>
      </c>
      <c r="C433" s="5">
        <f>5.07+(5.07*5/100)</f>
        <v>5.3235</v>
      </c>
      <c r="D433" s="5">
        <v>0.44</v>
      </c>
      <c r="E433" s="5">
        <f>C433+D433</f>
        <v>5.7635000000000005</v>
      </c>
    </row>
    <row r="434" spans="1:5" s="27" customFormat="1" ht="23.25">
      <c r="A434" s="21"/>
      <c r="B434" s="2" t="s">
        <v>343</v>
      </c>
      <c r="C434" s="5"/>
      <c r="D434" s="6"/>
      <c r="E434" s="5"/>
    </row>
    <row r="435" spans="1:5" s="27" customFormat="1" ht="23.25">
      <c r="A435" s="21" t="s">
        <v>1064</v>
      </c>
      <c r="B435" s="2" t="s">
        <v>1065</v>
      </c>
      <c r="C435" s="5">
        <f>5.07+(5.07*5/100)</f>
        <v>5.3235</v>
      </c>
      <c r="D435" s="5">
        <v>0.44</v>
      </c>
      <c r="E435" s="5">
        <f>C435+D435</f>
        <v>5.7635000000000005</v>
      </c>
    </row>
    <row r="436" spans="1:5" s="27" customFormat="1" ht="23.25">
      <c r="A436" s="21"/>
      <c r="B436" s="2" t="s">
        <v>344</v>
      </c>
      <c r="C436" s="5"/>
      <c r="D436" s="5"/>
      <c r="E436" s="5"/>
    </row>
    <row r="437" spans="1:5" s="27" customFormat="1" ht="23.25">
      <c r="A437" s="21" t="s">
        <v>1066</v>
      </c>
      <c r="B437" s="2" t="s">
        <v>1043</v>
      </c>
      <c r="C437" s="5">
        <f>3.38+(3.38*5/100)</f>
        <v>3.549</v>
      </c>
      <c r="D437" s="5">
        <v>0.44</v>
      </c>
      <c r="E437" s="5">
        <f>C437+D437</f>
        <v>3.989</v>
      </c>
    </row>
    <row r="438" spans="1:5" s="27" customFormat="1" ht="23.25">
      <c r="A438" s="21" t="s">
        <v>1064</v>
      </c>
      <c r="B438" s="2" t="s">
        <v>1065</v>
      </c>
      <c r="C438" s="5">
        <f>5.07+(5.07*5/100)</f>
        <v>5.3235</v>
      </c>
      <c r="D438" s="5">
        <v>0.87</v>
      </c>
      <c r="E438" s="5">
        <f>C438+D438</f>
        <v>6.1935</v>
      </c>
    </row>
    <row r="439" spans="1:5" s="27" customFormat="1" ht="23.25">
      <c r="A439" s="21"/>
      <c r="B439" s="2" t="s">
        <v>345</v>
      </c>
      <c r="C439" s="5"/>
      <c r="D439" s="5"/>
      <c r="E439" s="5"/>
    </row>
    <row r="440" spans="1:5" s="27" customFormat="1" ht="23.25">
      <c r="A440" s="21" t="s">
        <v>1064</v>
      </c>
      <c r="B440" s="2" t="s">
        <v>1065</v>
      </c>
      <c r="C440" s="5">
        <f>5.07+(5.07*5/100)</f>
        <v>5.3235</v>
      </c>
      <c r="D440" s="5">
        <v>0.44</v>
      </c>
      <c r="E440" s="5">
        <f>C440+D440</f>
        <v>5.7635000000000005</v>
      </c>
    </row>
    <row r="441" spans="1:5" s="27" customFormat="1" ht="23.25">
      <c r="A441" s="21"/>
      <c r="B441" s="2" t="s">
        <v>346</v>
      </c>
      <c r="C441" s="5"/>
      <c r="D441" s="5"/>
      <c r="E441" s="5"/>
    </row>
    <row r="442" spans="1:5" s="27" customFormat="1" ht="23.25">
      <c r="A442" s="21" t="s">
        <v>1064</v>
      </c>
      <c r="B442" s="2" t="s">
        <v>1065</v>
      </c>
      <c r="C442" s="5">
        <f>5.07+(5.07*5/100)</f>
        <v>5.3235</v>
      </c>
      <c r="D442" s="5">
        <v>0.27</v>
      </c>
      <c r="E442" s="5">
        <f>C442+D442</f>
        <v>5.593500000000001</v>
      </c>
    </row>
    <row r="443" spans="1:5" s="27" customFormat="1" ht="23.25">
      <c r="A443" s="21"/>
      <c r="B443" s="2" t="s">
        <v>347</v>
      </c>
      <c r="C443" s="5"/>
      <c r="D443" s="6"/>
      <c r="E443" s="5"/>
    </row>
    <row r="444" spans="1:5" s="27" customFormat="1" ht="23.25">
      <c r="A444" s="21" t="s">
        <v>1064</v>
      </c>
      <c r="B444" s="2" t="s">
        <v>1065</v>
      </c>
      <c r="C444" s="5">
        <f>5.07+(5.07*5/100)</f>
        <v>5.3235</v>
      </c>
      <c r="D444" s="5">
        <v>0.44</v>
      </c>
      <c r="E444" s="5">
        <f>C444+D444</f>
        <v>5.7635000000000005</v>
      </c>
    </row>
    <row r="445" spans="1:5" s="27" customFormat="1" ht="23.25">
      <c r="A445" s="21"/>
      <c r="B445" s="2" t="s">
        <v>191</v>
      </c>
      <c r="C445" s="5"/>
      <c r="D445" s="5"/>
      <c r="E445" s="5"/>
    </row>
    <row r="446" spans="1:5" s="27" customFormat="1" ht="23.25">
      <c r="A446" s="21" t="s">
        <v>1064</v>
      </c>
      <c r="B446" s="2" t="s">
        <v>1065</v>
      </c>
      <c r="C446" s="5">
        <f>5.07+(5.07*5/100)</f>
        <v>5.3235</v>
      </c>
      <c r="D446" s="5">
        <v>0.44</v>
      </c>
      <c r="E446" s="5">
        <f>C446+D446</f>
        <v>5.7635000000000005</v>
      </c>
    </row>
    <row r="447" spans="1:5" s="27" customFormat="1" ht="23.25">
      <c r="A447" s="21"/>
      <c r="B447" s="2" t="s">
        <v>192</v>
      </c>
      <c r="C447" s="5"/>
      <c r="D447" s="5"/>
      <c r="E447" s="5"/>
    </row>
    <row r="448" spans="1:5" s="27" customFormat="1" ht="23.25">
      <c r="A448" s="21" t="s">
        <v>1064</v>
      </c>
      <c r="B448" s="2" t="s">
        <v>1065</v>
      </c>
      <c r="C448" s="5">
        <f>5.07+(5.07*5/100)</f>
        <v>5.3235</v>
      </c>
      <c r="D448" s="5">
        <v>0.67</v>
      </c>
      <c r="E448" s="5">
        <f>C448+D448</f>
        <v>5.9935</v>
      </c>
    </row>
    <row r="449" spans="1:5" s="27" customFormat="1" ht="23.25">
      <c r="A449" s="21"/>
      <c r="B449" s="2" t="s">
        <v>193</v>
      </c>
      <c r="C449" s="5"/>
      <c r="D449" s="5"/>
      <c r="E449" s="5"/>
    </row>
    <row r="450" spans="1:5" s="27" customFormat="1" ht="23.25">
      <c r="A450" s="21" t="s">
        <v>1066</v>
      </c>
      <c r="B450" s="2" t="s">
        <v>1043</v>
      </c>
      <c r="C450" s="5">
        <f>3.38+(3.38*5/100)</f>
        <v>3.549</v>
      </c>
      <c r="D450" s="5">
        <v>0.44</v>
      </c>
      <c r="E450" s="5">
        <f>C450+D450</f>
        <v>3.989</v>
      </c>
    </row>
    <row r="451" spans="1:5" s="27" customFormat="1" ht="23.25">
      <c r="A451" s="21" t="s">
        <v>1064</v>
      </c>
      <c r="B451" s="2" t="s">
        <v>1065</v>
      </c>
      <c r="C451" s="5">
        <f>5.07+(5.07*5/100)</f>
        <v>5.3235</v>
      </c>
      <c r="D451" s="5">
        <v>0.87</v>
      </c>
      <c r="E451" s="5">
        <f>C451+D451</f>
        <v>6.1935</v>
      </c>
    </row>
    <row r="452" spans="1:5" s="27" customFormat="1" ht="23.25">
      <c r="A452" s="21" t="s">
        <v>1067</v>
      </c>
      <c r="B452" s="2" t="s">
        <v>1068</v>
      </c>
      <c r="C452" s="5"/>
      <c r="D452" s="5"/>
      <c r="E452" s="5"/>
    </row>
    <row r="453" spans="1:5" s="27" customFormat="1" ht="23.25">
      <c r="A453" s="21" t="s">
        <v>1069</v>
      </c>
      <c r="B453" s="2" t="s">
        <v>1043</v>
      </c>
      <c r="C453" s="5">
        <f>3.38+(3.38*5/100)</f>
        <v>3.549</v>
      </c>
      <c r="D453" s="5">
        <v>0.44</v>
      </c>
      <c r="E453" s="5">
        <f>C453+D453</f>
        <v>3.989</v>
      </c>
    </row>
    <row r="454" spans="1:5" s="27" customFormat="1" ht="23.25">
      <c r="A454" s="21" t="s">
        <v>1070</v>
      </c>
      <c r="B454" s="2" t="s">
        <v>1035</v>
      </c>
      <c r="C454" s="5">
        <f>5.07+(5.07*5/100)</f>
        <v>5.3235</v>
      </c>
      <c r="D454" s="5">
        <v>0.87</v>
      </c>
      <c r="E454" s="5">
        <f>C454+D454</f>
        <v>6.1935</v>
      </c>
    </row>
    <row r="455" spans="1:5" s="27" customFormat="1" ht="23.25">
      <c r="A455" s="21" t="s">
        <v>1071</v>
      </c>
      <c r="B455" s="2" t="s">
        <v>1072</v>
      </c>
      <c r="C455" s="5">
        <f>3.38+(3.38*5/100)</f>
        <v>3.549</v>
      </c>
      <c r="D455" s="5">
        <v>0.15</v>
      </c>
      <c r="E455" s="5">
        <f>C455+D455</f>
        <v>3.699</v>
      </c>
    </row>
    <row r="456" spans="1:5" s="27" customFormat="1" ht="23.25">
      <c r="A456" s="21" t="s">
        <v>1073</v>
      </c>
      <c r="B456" s="2" t="s">
        <v>1074</v>
      </c>
      <c r="C456" s="5">
        <f>5.07+(5.07*5/100)</f>
        <v>5.3235</v>
      </c>
      <c r="D456" s="5">
        <v>0.27</v>
      </c>
      <c r="E456" s="5">
        <f aca="true" t="shared" si="21" ref="E456:E464">C456+D456</f>
        <v>5.593500000000001</v>
      </c>
    </row>
    <row r="457" spans="1:5" s="27" customFormat="1" ht="23.25">
      <c r="A457" s="21" t="s">
        <v>1075</v>
      </c>
      <c r="B457" s="2" t="s">
        <v>448</v>
      </c>
      <c r="C457" s="5">
        <f>5.07+(5.07*5/100)</f>
        <v>5.3235</v>
      </c>
      <c r="D457" s="5">
        <v>0.27</v>
      </c>
      <c r="E457" s="5">
        <f t="shared" si="21"/>
        <v>5.593500000000001</v>
      </c>
    </row>
    <row r="458" spans="1:5" s="27" customFormat="1" ht="23.25">
      <c r="A458" s="21" t="s">
        <v>449</v>
      </c>
      <c r="B458" s="2" t="s">
        <v>225</v>
      </c>
      <c r="C458" s="5">
        <f>3.38+(3.38*5/100)</f>
        <v>3.549</v>
      </c>
      <c r="D458" s="5">
        <v>0.15</v>
      </c>
      <c r="E458" s="5">
        <f t="shared" si="21"/>
        <v>3.699</v>
      </c>
    </row>
    <row r="459" spans="1:5" s="27" customFormat="1" ht="23.25">
      <c r="A459" s="21" t="s">
        <v>226</v>
      </c>
      <c r="B459" s="2" t="s">
        <v>227</v>
      </c>
      <c r="C459" s="5">
        <f>2.37+(2.37*5/100)</f>
        <v>2.4885</v>
      </c>
      <c r="D459" s="5">
        <v>0.34</v>
      </c>
      <c r="E459" s="5">
        <f t="shared" si="21"/>
        <v>2.8285</v>
      </c>
    </row>
    <row r="460" spans="1:5" s="27" customFormat="1" ht="23.25">
      <c r="A460" s="21" t="s">
        <v>440</v>
      </c>
      <c r="B460" s="2" t="s">
        <v>441</v>
      </c>
      <c r="C460" s="5">
        <f>5.35+(5.35*5/100)</f>
        <v>5.6175</v>
      </c>
      <c r="D460" s="7">
        <v>1.59</v>
      </c>
      <c r="E460" s="5">
        <f t="shared" si="21"/>
        <v>7.2075</v>
      </c>
    </row>
    <row r="461" spans="1:5" s="27" customFormat="1" ht="23.25">
      <c r="A461" s="21" t="s">
        <v>228</v>
      </c>
      <c r="B461" s="2" t="s">
        <v>417</v>
      </c>
      <c r="C461" s="5">
        <f>3.38+(3.38*5/100)</f>
        <v>3.549</v>
      </c>
      <c r="D461" s="5">
        <v>0.27</v>
      </c>
      <c r="E461" s="5">
        <f t="shared" si="21"/>
        <v>3.819</v>
      </c>
    </row>
    <row r="462" spans="1:5" s="27" customFormat="1" ht="23.25">
      <c r="A462" s="21" t="s">
        <v>418</v>
      </c>
      <c r="B462" s="2" t="s">
        <v>419</v>
      </c>
      <c r="C462" s="5">
        <f>5.07+(5.07*5/100)</f>
        <v>5.3235</v>
      </c>
      <c r="D462" s="5">
        <v>0.44</v>
      </c>
      <c r="E462" s="5">
        <f t="shared" si="21"/>
        <v>5.7635000000000005</v>
      </c>
    </row>
    <row r="463" spans="1:5" s="27" customFormat="1" ht="23.25">
      <c r="A463" s="21" t="s">
        <v>420</v>
      </c>
      <c r="B463" s="2" t="s">
        <v>421</v>
      </c>
      <c r="C463" s="5">
        <f>5.07+(5.07*5/100)</f>
        <v>5.3235</v>
      </c>
      <c r="D463" s="5">
        <v>0.67</v>
      </c>
      <c r="E463" s="5">
        <f t="shared" si="21"/>
        <v>5.9935</v>
      </c>
    </row>
    <row r="464" spans="1:5" s="27" customFormat="1" ht="23.25">
      <c r="A464" s="21" t="s">
        <v>422</v>
      </c>
      <c r="B464" s="2" t="s">
        <v>423</v>
      </c>
      <c r="C464" s="5">
        <f>8.45+(8.45*5/100)</f>
        <v>8.872499999999999</v>
      </c>
      <c r="D464" s="5">
        <v>0.67</v>
      </c>
      <c r="E464" s="5">
        <f t="shared" si="21"/>
        <v>9.542499999999999</v>
      </c>
    </row>
    <row r="465" spans="1:5" s="27" customFormat="1" ht="23.25">
      <c r="A465" s="21" t="s">
        <v>424</v>
      </c>
      <c r="B465" s="2" t="s">
        <v>963</v>
      </c>
      <c r="C465" s="5"/>
      <c r="D465" s="6"/>
      <c r="E465" s="5"/>
    </row>
    <row r="466" spans="1:5" s="27" customFormat="1" ht="23.25">
      <c r="A466" s="21"/>
      <c r="B466" s="2" t="s">
        <v>234</v>
      </c>
      <c r="C466" s="5">
        <f>6.76+(6.76*5/100)</f>
        <v>7.098</v>
      </c>
      <c r="D466" s="5">
        <v>0.27</v>
      </c>
      <c r="E466" s="5">
        <f>C466+D466</f>
        <v>7.368</v>
      </c>
    </row>
    <row r="467" spans="1:5" s="27" customFormat="1" ht="23.25">
      <c r="A467" s="21"/>
      <c r="B467" s="2" t="s">
        <v>236</v>
      </c>
      <c r="C467" s="5">
        <f>6.76+(6.76*5/100)</f>
        <v>7.098</v>
      </c>
      <c r="D467" s="5">
        <v>0.44</v>
      </c>
      <c r="E467" s="5">
        <f>C467+D467</f>
        <v>7.538</v>
      </c>
    </row>
    <row r="468" spans="1:5" s="27" customFormat="1" ht="23.25">
      <c r="A468" s="21" t="s">
        <v>964</v>
      </c>
      <c r="B468" s="2" t="s">
        <v>288</v>
      </c>
      <c r="C468" s="5">
        <f>3.38+(3.38*5/100)</f>
        <v>3.549</v>
      </c>
      <c r="D468" s="5">
        <v>0.67</v>
      </c>
      <c r="E468" s="5">
        <f>C468+D468</f>
        <v>4.219</v>
      </c>
    </row>
    <row r="469" spans="1:5" s="27" customFormat="1" ht="23.25">
      <c r="A469" s="21" t="s">
        <v>289</v>
      </c>
      <c r="B469" s="2" t="s">
        <v>965</v>
      </c>
      <c r="C469" s="5">
        <f>17.1+(17.1*5/100)</f>
        <v>17.955000000000002</v>
      </c>
      <c r="D469" s="5">
        <v>0.67</v>
      </c>
      <c r="E469" s="5">
        <f>C469+D469</f>
        <v>18.625000000000004</v>
      </c>
    </row>
    <row r="470" spans="1:5" s="27" customFormat="1" ht="23.25">
      <c r="A470" s="21" t="s">
        <v>966</v>
      </c>
      <c r="B470" s="2" t="s">
        <v>967</v>
      </c>
      <c r="C470" s="5">
        <f>18.06+(18.06*5/100)</f>
        <v>18.962999999999997</v>
      </c>
      <c r="D470" s="5">
        <v>16.66</v>
      </c>
      <c r="E470" s="5">
        <f>C470+D470</f>
        <v>35.623</v>
      </c>
    </row>
    <row r="471" spans="1:5" s="27" customFormat="1" ht="23.25">
      <c r="A471" s="21" t="s">
        <v>511</v>
      </c>
      <c r="B471" s="2" t="s">
        <v>512</v>
      </c>
      <c r="C471" s="5"/>
      <c r="D471" s="5"/>
      <c r="E471" s="5"/>
    </row>
    <row r="472" spans="1:5" s="27" customFormat="1" ht="23.25">
      <c r="A472" s="21" t="s">
        <v>513</v>
      </c>
      <c r="B472" s="2" t="s">
        <v>514</v>
      </c>
      <c r="C472" s="5"/>
      <c r="D472" s="5"/>
      <c r="E472" s="5"/>
    </row>
    <row r="473" spans="1:5" s="27" customFormat="1" ht="23.25">
      <c r="A473" s="21" t="s">
        <v>515</v>
      </c>
      <c r="B473" s="2" t="s">
        <v>1043</v>
      </c>
      <c r="C473" s="5">
        <f>3.5+(3.5*5/100)</f>
        <v>3.675</v>
      </c>
      <c r="D473" s="5">
        <v>0.02</v>
      </c>
      <c r="E473" s="5">
        <f>C473+D473</f>
        <v>3.695</v>
      </c>
    </row>
    <row r="474" spans="1:5" s="27" customFormat="1" ht="23.25">
      <c r="A474" s="21" t="s">
        <v>516</v>
      </c>
      <c r="B474" s="2" t="s">
        <v>1035</v>
      </c>
      <c r="C474" s="5">
        <f>5.24+(5.24*5/100)</f>
        <v>5.502000000000001</v>
      </c>
      <c r="D474" s="5">
        <v>0.02</v>
      </c>
      <c r="E474" s="5">
        <f>C474+D474</f>
        <v>5.522</v>
      </c>
    </row>
    <row r="475" spans="1:5" s="27" customFormat="1" ht="23.25">
      <c r="A475" s="21" t="s">
        <v>517</v>
      </c>
      <c r="B475" s="2" t="s">
        <v>518</v>
      </c>
      <c r="C475" s="5">
        <f>5.24+(5.24*5/100)</f>
        <v>5.502000000000001</v>
      </c>
      <c r="D475" s="5">
        <v>0.02</v>
      </c>
      <c r="E475" s="5">
        <f>C475+D475</f>
        <v>5.522</v>
      </c>
    </row>
    <row r="476" spans="1:5" s="27" customFormat="1" ht="26.25">
      <c r="A476" s="49" t="s">
        <v>586</v>
      </c>
      <c r="B476" s="49"/>
      <c r="C476" s="49"/>
      <c r="D476" s="49"/>
      <c r="E476" s="49"/>
    </row>
    <row r="477" spans="1:5" s="27" customFormat="1" ht="23.25">
      <c r="A477" s="21" t="s">
        <v>973</v>
      </c>
      <c r="B477" s="2" t="s">
        <v>1027</v>
      </c>
      <c r="C477" s="5"/>
      <c r="D477" s="6"/>
      <c r="E477" s="5"/>
    </row>
    <row r="478" spans="1:5" s="27" customFormat="1" ht="23.25">
      <c r="A478" s="21" t="s">
        <v>1028</v>
      </c>
      <c r="B478" s="15" t="s">
        <v>1029</v>
      </c>
      <c r="C478" s="5">
        <f>4.86+(4.86*5/100)</f>
        <v>5.103000000000001</v>
      </c>
      <c r="D478" s="5" t="s">
        <v>104</v>
      </c>
      <c r="E478" s="5">
        <f>C478</f>
        <v>5.103000000000001</v>
      </c>
    </row>
    <row r="479" spans="1:5" s="27" customFormat="1" ht="23.25">
      <c r="A479" s="21" t="s">
        <v>1030</v>
      </c>
      <c r="B479" s="52" t="s">
        <v>1031</v>
      </c>
      <c r="C479" s="52"/>
      <c r="D479" s="52"/>
      <c r="E479" s="52"/>
    </row>
    <row r="480" spans="1:5" s="27" customFormat="1" ht="23.25">
      <c r="A480" s="21" t="s">
        <v>1032</v>
      </c>
      <c r="B480" s="15" t="s">
        <v>1033</v>
      </c>
      <c r="C480" s="5">
        <f>4.86+(4.86*5/100)</f>
        <v>5.103000000000001</v>
      </c>
      <c r="D480" s="5" t="s">
        <v>104</v>
      </c>
      <c r="E480" s="5">
        <f>C480</f>
        <v>5.103000000000001</v>
      </c>
    </row>
    <row r="481" spans="1:5" s="27" customFormat="1" ht="23.25">
      <c r="A481" s="21" t="s">
        <v>1034</v>
      </c>
      <c r="B481" s="15" t="s">
        <v>1035</v>
      </c>
      <c r="C481" s="5">
        <f>7.29+(7.29*5/100)</f>
        <v>7.6545000000000005</v>
      </c>
      <c r="D481" s="5" t="s">
        <v>104</v>
      </c>
      <c r="E481" s="5">
        <f>C481</f>
        <v>7.6545000000000005</v>
      </c>
    </row>
    <row r="482" spans="1:5" s="27" customFormat="1" ht="23.25">
      <c r="A482" s="21" t="s">
        <v>1036</v>
      </c>
      <c r="B482" s="15" t="s">
        <v>1037</v>
      </c>
      <c r="C482" s="5">
        <f>7.29+(7.29*5/100)</f>
        <v>7.6545000000000005</v>
      </c>
      <c r="D482" s="5" t="s">
        <v>104</v>
      </c>
      <c r="E482" s="5">
        <f>C482</f>
        <v>7.6545000000000005</v>
      </c>
    </row>
    <row r="483" spans="1:5" s="27" customFormat="1" ht="23.25">
      <c r="A483" s="21" t="s">
        <v>1038</v>
      </c>
      <c r="B483" s="15" t="s">
        <v>1039</v>
      </c>
      <c r="C483" s="5">
        <f>3.38+(3.38*5/100)</f>
        <v>3.549</v>
      </c>
      <c r="D483" s="5" t="s">
        <v>104</v>
      </c>
      <c r="E483" s="5">
        <f>C483</f>
        <v>3.549</v>
      </c>
    </row>
    <row r="484" spans="1:5" s="27" customFormat="1" ht="23.25">
      <c r="A484" s="21" t="s">
        <v>1040</v>
      </c>
      <c r="B484" s="15" t="s">
        <v>1041</v>
      </c>
      <c r="C484" s="5"/>
      <c r="D484" s="5"/>
      <c r="E484" s="5"/>
    </row>
    <row r="485" spans="1:5" s="27" customFormat="1" ht="23.25">
      <c r="A485" s="21" t="s">
        <v>1042</v>
      </c>
      <c r="B485" s="15" t="s">
        <v>1043</v>
      </c>
      <c r="C485" s="5">
        <f>1.46+(1.46*5/100)</f>
        <v>1.533</v>
      </c>
      <c r="D485" s="5" t="s">
        <v>104</v>
      </c>
      <c r="E485" s="5">
        <f aca="true" t="shared" si="22" ref="E485:E491">C485</f>
        <v>1.533</v>
      </c>
    </row>
    <row r="486" spans="1:5" s="27" customFormat="1" ht="23.25">
      <c r="A486" s="21" t="s">
        <v>1046</v>
      </c>
      <c r="B486" s="15" t="s">
        <v>1047</v>
      </c>
      <c r="C486" s="5">
        <f>4.86+(4.86*5/100)</f>
        <v>5.103000000000001</v>
      </c>
      <c r="D486" s="5" t="s">
        <v>104</v>
      </c>
      <c r="E486" s="5">
        <f t="shared" si="22"/>
        <v>5.103000000000001</v>
      </c>
    </row>
    <row r="487" spans="1:5" s="27" customFormat="1" ht="23.25">
      <c r="A487" s="21" t="s">
        <v>1048</v>
      </c>
      <c r="B487" s="15" t="s">
        <v>1049</v>
      </c>
      <c r="C487" s="5">
        <f>7.29+(7.29*5/100)</f>
        <v>7.6545000000000005</v>
      </c>
      <c r="D487" s="5" t="s">
        <v>104</v>
      </c>
      <c r="E487" s="5">
        <f t="shared" si="22"/>
        <v>7.6545000000000005</v>
      </c>
    </row>
    <row r="488" spans="1:5" s="27" customFormat="1" ht="22.5" customHeight="1">
      <c r="A488" s="21" t="s">
        <v>1050</v>
      </c>
      <c r="B488" s="15" t="s">
        <v>1051</v>
      </c>
      <c r="C488" s="5">
        <f>9.72+(9.72*5/100)</f>
        <v>10.206000000000001</v>
      </c>
      <c r="D488" s="5" t="s">
        <v>104</v>
      </c>
      <c r="E488" s="5">
        <f t="shared" si="22"/>
        <v>10.206000000000001</v>
      </c>
    </row>
    <row r="489" spans="1:5" s="27" customFormat="1" ht="23.25">
      <c r="A489" s="21" t="s">
        <v>1052</v>
      </c>
      <c r="B489" s="15" t="s">
        <v>1053</v>
      </c>
      <c r="C489" s="5">
        <f>14.58+(14.58*5/100)</f>
        <v>15.309000000000001</v>
      </c>
      <c r="D489" s="5" t="s">
        <v>104</v>
      </c>
      <c r="E489" s="5">
        <f t="shared" si="22"/>
        <v>15.309000000000001</v>
      </c>
    </row>
    <row r="490" spans="1:5" s="27" customFormat="1" ht="23.25">
      <c r="A490" s="21" t="s">
        <v>1054</v>
      </c>
      <c r="B490" s="15" t="s">
        <v>1055</v>
      </c>
      <c r="C490" s="5">
        <f>24.3+(24.3*5/100)</f>
        <v>25.515</v>
      </c>
      <c r="D490" s="5" t="s">
        <v>104</v>
      </c>
      <c r="E490" s="5">
        <f t="shared" si="22"/>
        <v>25.515</v>
      </c>
    </row>
    <row r="491" spans="1:5" s="27" customFormat="1" ht="23.25">
      <c r="A491" s="21" t="s">
        <v>1056</v>
      </c>
      <c r="B491" s="15" t="s">
        <v>1057</v>
      </c>
      <c r="C491" s="5">
        <f>19.44+(19.44*5/100)</f>
        <v>20.412000000000003</v>
      </c>
      <c r="D491" s="5" t="s">
        <v>104</v>
      </c>
      <c r="E491" s="5">
        <f t="shared" si="22"/>
        <v>20.412000000000003</v>
      </c>
    </row>
    <row r="492" spans="1:5" s="27" customFormat="1" ht="23.25">
      <c r="A492" s="21" t="s">
        <v>1058</v>
      </c>
      <c r="B492" s="15" t="s">
        <v>1059</v>
      </c>
      <c r="C492" s="5"/>
      <c r="D492" s="6"/>
      <c r="E492" s="5"/>
    </row>
    <row r="493" spans="1:5" s="27" customFormat="1" ht="23.25">
      <c r="A493" s="21"/>
      <c r="B493" s="15" t="s">
        <v>234</v>
      </c>
      <c r="C493" s="5"/>
      <c r="D493" s="6"/>
      <c r="E493" s="5"/>
    </row>
    <row r="494" spans="1:5" s="27" customFormat="1" ht="23.25">
      <c r="A494" s="21" t="s">
        <v>1060</v>
      </c>
      <c r="B494" s="15" t="s">
        <v>1043</v>
      </c>
      <c r="C494" s="5">
        <f>4.86+(4.86*5/100)</f>
        <v>5.103000000000001</v>
      </c>
      <c r="D494" s="5" t="s">
        <v>104</v>
      </c>
      <c r="E494" s="5">
        <f>C494</f>
        <v>5.103000000000001</v>
      </c>
    </row>
    <row r="495" spans="1:5" s="27" customFormat="1" ht="23.25">
      <c r="A495" s="21" t="s">
        <v>1061</v>
      </c>
      <c r="B495" s="15" t="s">
        <v>1035</v>
      </c>
      <c r="C495" s="5">
        <f>7.29+(7.29*5/100)</f>
        <v>7.6545000000000005</v>
      </c>
      <c r="D495" s="5" t="s">
        <v>104</v>
      </c>
      <c r="E495" s="5">
        <f>C495</f>
        <v>7.6545000000000005</v>
      </c>
    </row>
    <row r="496" spans="1:5" s="27" customFormat="1" ht="23.25">
      <c r="A496" s="21"/>
      <c r="B496" s="15" t="s">
        <v>235</v>
      </c>
      <c r="C496" s="5"/>
      <c r="D496" s="5"/>
      <c r="E496" s="5"/>
    </row>
    <row r="497" spans="1:5" s="27" customFormat="1" ht="23.25">
      <c r="A497" s="21" t="s">
        <v>1060</v>
      </c>
      <c r="B497" s="15" t="s">
        <v>1043</v>
      </c>
      <c r="C497" s="5">
        <f>4.86+(4.86*5/100)</f>
        <v>5.103000000000001</v>
      </c>
      <c r="D497" s="5" t="s">
        <v>104</v>
      </c>
      <c r="E497" s="5">
        <f>C497</f>
        <v>5.103000000000001</v>
      </c>
    </row>
    <row r="498" spans="1:5" s="27" customFormat="1" ht="23.25">
      <c r="A498" s="21" t="s">
        <v>1061</v>
      </c>
      <c r="B498" s="15" t="s">
        <v>1035</v>
      </c>
      <c r="C498" s="5">
        <f>7.29+(7.29*5/100)</f>
        <v>7.6545000000000005</v>
      </c>
      <c r="D498" s="5" t="s">
        <v>104</v>
      </c>
      <c r="E498" s="5">
        <f>C498</f>
        <v>7.6545000000000005</v>
      </c>
    </row>
    <row r="499" spans="1:5" s="27" customFormat="1" ht="23.25">
      <c r="A499" s="21"/>
      <c r="B499" s="15" t="s">
        <v>236</v>
      </c>
      <c r="C499" s="5"/>
      <c r="D499" s="5"/>
      <c r="E499" s="5"/>
    </row>
    <row r="500" spans="1:5" s="27" customFormat="1" ht="23.25">
      <c r="A500" s="21" t="s">
        <v>1060</v>
      </c>
      <c r="B500" s="15" t="s">
        <v>1043</v>
      </c>
      <c r="C500" s="5">
        <f>4.86+(4.86*5/100)</f>
        <v>5.103000000000001</v>
      </c>
      <c r="D500" s="5" t="s">
        <v>104</v>
      </c>
      <c r="E500" s="5">
        <f>C500</f>
        <v>5.103000000000001</v>
      </c>
    </row>
    <row r="501" spans="1:5" s="27" customFormat="1" ht="23.25">
      <c r="A501" s="21" t="s">
        <v>1061</v>
      </c>
      <c r="B501" s="15" t="s">
        <v>1035</v>
      </c>
      <c r="C501" s="5">
        <f>7.29+(7.29*5/100)</f>
        <v>7.6545000000000005</v>
      </c>
      <c r="D501" s="5" t="s">
        <v>104</v>
      </c>
      <c r="E501" s="5">
        <f>C501</f>
        <v>7.6545000000000005</v>
      </c>
    </row>
    <row r="502" spans="1:5" s="27" customFormat="1" ht="23.25">
      <c r="A502" s="21"/>
      <c r="B502" s="15" t="s">
        <v>194</v>
      </c>
      <c r="C502" s="5"/>
      <c r="D502" s="6"/>
      <c r="E502" s="5"/>
    </row>
    <row r="503" spans="1:5" s="27" customFormat="1" ht="23.25">
      <c r="A503" s="21" t="s">
        <v>1060</v>
      </c>
      <c r="B503" s="15" t="s">
        <v>1043</v>
      </c>
      <c r="C503" s="5">
        <f>4.86+(4.86*5/100)</f>
        <v>5.103000000000001</v>
      </c>
      <c r="D503" s="5" t="s">
        <v>104</v>
      </c>
      <c r="E503" s="5">
        <f>C503</f>
        <v>5.103000000000001</v>
      </c>
    </row>
    <row r="504" spans="1:5" s="27" customFormat="1" ht="23.25">
      <c r="A504" s="21" t="s">
        <v>1061</v>
      </c>
      <c r="B504" s="15" t="s">
        <v>1035</v>
      </c>
      <c r="C504" s="5">
        <f>7.29+(7.29*5/100)</f>
        <v>7.6545000000000005</v>
      </c>
      <c r="D504" s="5" t="s">
        <v>104</v>
      </c>
      <c r="E504" s="5">
        <f>C504</f>
        <v>7.6545000000000005</v>
      </c>
    </row>
    <row r="505" spans="1:5" s="27" customFormat="1" ht="23.25">
      <c r="A505" s="21" t="s">
        <v>1062</v>
      </c>
      <c r="B505" s="15" t="s">
        <v>1063</v>
      </c>
      <c r="C505" s="5"/>
      <c r="D505" s="6"/>
      <c r="E505" s="5"/>
    </row>
    <row r="506" spans="1:5" s="27" customFormat="1" ht="23.25">
      <c r="A506" s="21"/>
      <c r="B506" s="15" t="s">
        <v>195</v>
      </c>
      <c r="C506" s="5"/>
      <c r="D506" s="6"/>
      <c r="E506" s="5"/>
    </row>
    <row r="507" spans="1:5" s="27" customFormat="1" ht="23.25">
      <c r="A507" s="21" t="s">
        <v>1064</v>
      </c>
      <c r="B507" s="15" t="s">
        <v>1065</v>
      </c>
      <c r="C507" s="5">
        <f>7.29+(7.29*5/100)</f>
        <v>7.6545000000000005</v>
      </c>
      <c r="D507" s="5" t="s">
        <v>104</v>
      </c>
      <c r="E507" s="5">
        <f>C507</f>
        <v>7.6545000000000005</v>
      </c>
    </row>
    <row r="508" spans="1:5" s="27" customFormat="1" ht="23.25">
      <c r="A508" s="21"/>
      <c r="B508" s="15" t="s">
        <v>196</v>
      </c>
      <c r="C508" s="5"/>
      <c r="D508" s="5"/>
      <c r="E508" s="5"/>
    </row>
    <row r="509" spans="1:5" s="27" customFormat="1" ht="23.25">
      <c r="A509" s="21" t="s">
        <v>1064</v>
      </c>
      <c r="B509" s="15" t="s">
        <v>1065</v>
      </c>
      <c r="C509" s="5">
        <f>7.29+(7.29*5/100)</f>
        <v>7.6545000000000005</v>
      </c>
      <c r="D509" s="5" t="s">
        <v>104</v>
      </c>
      <c r="E509" s="5">
        <f>C509</f>
        <v>7.6545000000000005</v>
      </c>
    </row>
    <row r="510" spans="1:5" s="27" customFormat="1" ht="23.25">
      <c r="A510" s="21"/>
      <c r="B510" s="15" t="s">
        <v>197</v>
      </c>
      <c r="C510" s="5"/>
      <c r="D510" s="5"/>
      <c r="E510" s="5"/>
    </row>
    <row r="511" spans="1:5" s="27" customFormat="1" ht="23.25">
      <c r="A511" s="21" t="s">
        <v>1064</v>
      </c>
      <c r="B511" s="15" t="s">
        <v>1065</v>
      </c>
      <c r="C511" s="5">
        <f>7.29+(7.29*5/100)</f>
        <v>7.6545000000000005</v>
      </c>
      <c r="D511" s="5" t="s">
        <v>104</v>
      </c>
      <c r="E511" s="5">
        <f>C511</f>
        <v>7.6545000000000005</v>
      </c>
    </row>
    <row r="512" spans="1:5" s="27" customFormat="1" ht="23.25">
      <c r="A512" s="21"/>
      <c r="B512" s="15" t="s">
        <v>198</v>
      </c>
      <c r="C512" s="5"/>
      <c r="D512" s="6"/>
      <c r="E512" s="5"/>
    </row>
    <row r="513" spans="1:5" s="27" customFormat="1" ht="23.25">
      <c r="A513" s="21" t="s">
        <v>1064</v>
      </c>
      <c r="B513" s="15" t="s">
        <v>1065</v>
      </c>
      <c r="C513" s="5">
        <f>7.29+(7.29*5/100)</f>
        <v>7.6545000000000005</v>
      </c>
      <c r="D513" s="5" t="s">
        <v>104</v>
      </c>
      <c r="E513" s="5">
        <f>C513</f>
        <v>7.6545000000000005</v>
      </c>
    </row>
    <row r="514" spans="1:5" s="27" customFormat="1" ht="23.25">
      <c r="A514" s="21"/>
      <c r="B514" s="15" t="s">
        <v>342</v>
      </c>
      <c r="C514" s="5"/>
      <c r="D514" s="5"/>
      <c r="E514" s="5"/>
    </row>
    <row r="515" spans="1:5" s="27" customFormat="1" ht="23.25">
      <c r="A515" s="21" t="s">
        <v>1064</v>
      </c>
      <c r="B515" s="15" t="s">
        <v>1065</v>
      </c>
      <c r="C515" s="5">
        <f>7.29+(7.29*5/100)</f>
        <v>7.6545000000000005</v>
      </c>
      <c r="D515" s="5" t="s">
        <v>104</v>
      </c>
      <c r="E515" s="5">
        <f>C515</f>
        <v>7.6545000000000005</v>
      </c>
    </row>
    <row r="516" spans="1:5" s="27" customFormat="1" ht="23.25">
      <c r="A516" s="21"/>
      <c r="B516" s="15" t="s">
        <v>343</v>
      </c>
      <c r="C516" s="5"/>
      <c r="D516" s="6"/>
      <c r="E516" s="5"/>
    </row>
    <row r="517" spans="1:5" s="27" customFormat="1" ht="23.25">
      <c r="A517" s="21" t="s">
        <v>1064</v>
      </c>
      <c r="B517" s="15" t="s">
        <v>1065</v>
      </c>
      <c r="C517" s="5">
        <f>7.29+(7.29*5/100)</f>
        <v>7.6545000000000005</v>
      </c>
      <c r="D517" s="5" t="s">
        <v>104</v>
      </c>
      <c r="E517" s="5">
        <f>C517</f>
        <v>7.6545000000000005</v>
      </c>
    </row>
    <row r="518" spans="1:5" s="27" customFormat="1" ht="23.25">
      <c r="A518" s="21"/>
      <c r="B518" s="15" t="s">
        <v>344</v>
      </c>
      <c r="C518" s="5"/>
      <c r="D518" s="5"/>
      <c r="E518" s="5"/>
    </row>
    <row r="519" spans="1:5" s="27" customFormat="1" ht="23.25">
      <c r="A519" s="21" t="s">
        <v>1066</v>
      </c>
      <c r="B519" s="15" t="s">
        <v>1043</v>
      </c>
      <c r="C519" s="5">
        <f>4.86+(4.86*5/100)</f>
        <v>5.103000000000001</v>
      </c>
      <c r="D519" s="5" t="s">
        <v>104</v>
      </c>
      <c r="E519" s="5">
        <f>C519</f>
        <v>5.103000000000001</v>
      </c>
    </row>
    <row r="520" spans="1:5" s="27" customFormat="1" ht="23.25">
      <c r="A520" s="21" t="s">
        <v>1064</v>
      </c>
      <c r="B520" s="15" t="s">
        <v>1065</v>
      </c>
      <c r="C520" s="5">
        <f>7.29+(7.29*5/100)</f>
        <v>7.6545000000000005</v>
      </c>
      <c r="D520" s="5" t="s">
        <v>104</v>
      </c>
      <c r="E520" s="5">
        <f>C520</f>
        <v>7.6545000000000005</v>
      </c>
    </row>
    <row r="521" spans="1:5" s="27" customFormat="1" ht="23.25">
      <c r="A521" s="21"/>
      <c r="B521" s="15" t="s">
        <v>345</v>
      </c>
      <c r="C521" s="5"/>
      <c r="D521" s="5"/>
      <c r="E521" s="5"/>
    </row>
    <row r="522" spans="1:5" s="27" customFormat="1" ht="23.25">
      <c r="A522" s="21" t="s">
        <v>1064</v>
      </c>
      <c r="B522" s="15" t="s">
        <v>1065</v>
      </c>
      <c r="C522" s="5">
        <f>7.29+(7.29*5/100)</f>
        <v>7.6545000000000005</v>
      </c>
      <c r="D522" s="5" t="s">
        <v>104</v>
      </c>
      <c r="E522" s="5">
        <f>C522</f>
        <v>7.6545000000000005</v>
      </c>
    </row>
    <row r="523" spans="1:5" s="27" customFormat="1" ht="23.25">
      <c r="A523" s="21"/>
      <c r="B523" s="15" t="s">
        <v>346</v>
      </c>
      <c r="C523" s="5"/>
      <c r="D523" s="5"/>
      <c r="E523" s="5"/>
    </row>
    <row r="524" spans="1:5" s="27" customFormat="1" ht="23.25">
      <c r="A524" s="21" t="s">
        <v>1064</v>
      </c>
      <c r="B524" s="15" t="s">
        <v>1065</v>
      </c>
      <c r="C524" s="5">
        <f>7.29+(7.29*5/100)</f>
        <v>7.6545000000000005</v>
      </c>
      <c r="D524" s="5" t="s">
        <v>104</v>
      </c>
      <c r="E524" s="5">
        <f>C524</f>
        <v>7.6545000000000005</v>
      </c>
    </row>
    <row r="525" spans="1:5" s="27" customFormat="1" ht="23.25">
      <c r="A525" s="21"/>
      <c r="B525" s="15" t="s">
        <v>347</v>
      </c>
      <c r="C525" s="5"/>
      <c r="D525" s="6"/>
      <c r="E525" s="5"/>
    </row>
    <row r="526" spans="1:5" s="27" customFormat="1" ht="23.25">
      <c r="A526" s="21" t="s">
        <v>1064</v>
      </c>
      <c r="B526" s="15" t="s">
        <v>1065</v>
      </c>
      <c r="C526" s="5">
        <f>7.29+(7.29*5/100)</f>
        <v>7.6545000000000005</v>
      </c>
      <c r="D526" s="5" t="s">
        <v>104</v>
      </c>
      <c r="E526" s="5">
        <f>C526</f>
        <v>7.6545000000000005</v>
      </c>
    </row>
    <row r="527" spans="1:5" s="27" customFormat="1" ht="23.25">
      <c r="A527" s="21"/>
      <c r="B527" s="15" t="s">
        <v>191</v>
      </c>
      <c r="C527" s="5"/>
      <c r="D527" s="5"/>
      <c r="E527" s="5"/>
    </row>
    <row r="528" spans="1:5" s="27" customFormat="1" ht="23.25">
      <c r="A528" s="21" t="s">
        <v>1064</v>
      </c>
      <c r="B528" s="15" t="s">
        <v>1065</v>
      </c>
      <c r="C528" s="5">
        <f>7.29+(7.29*5/100)</f>
        <v>7.6545000000000005</v>
      </c>
      <c r="D528" s="5" t="s">
        <v>104</v>
      </c>
      <c r="E528" s="5">
        <f>C528</f>
        <v>7.6545000000000005</v>
      </c>
    </row>
    <row r="529" spans="1:5" s="27" customFormat="1" ht="23.25">
      <c r="A529" s="21"/>
      <c r="B529" s="15" t="s">
        <v>192</v>
      </c>
      <c r="C529" s="5"/>
      <c r="D529" s="5"/>
      <c r="E529" s="5"/>
    </row>
    <row r="530" spans="1:5" s="27" customFormat="1" ht="23.25">
      <c r="A530" s="21" t="s">
        <v>1064</v>
      </c>
      <c r="B530" s="15" t="s">
        <v>1065</v>
      </c>
      <c r="C530" s="5">
        <f>7.29+(7.29*5/100)</f>
        <v>7.6545000000000005</v>
      </c>
      <c r="D530" s="5" t="s">
        <v>104</v>
      </c>
      <c r="E530" s="5">
        <f>C530</f>
        <v>7.6545000000000005</v>
      </c>
    </row>
    <row r="531" spans="1:5" s="27" customFormat="1" ht="23.25">
      <c r="A531" s="21"/>
      <c r="B531" s="15" t="s">
        <v>193</v>
      </c>
      <c r="C531" s="5"/>
      <c r="D531" s="5"/>
      <c r="E531" s="5"/>
    </row>
    <row r="532" spans="1:5" s="27" customFormat="1" ht="23.25">
      <c r="A532" s="21" t="s">
        <v>1066</v>
      </c>
      <c r="B532" s="15" t="s">
        <v>1043</v>
      </c>
      <c r="C532" s="5">
        <f>4.86+(4.86*5/100)</f>
        <v>5.103000000000001</v>
      </c>
      <c r="D532" s="5" t="s">
        <v>104</v>
      </c>
      <c r="E532" s="5">
        <f>C532</f>
        <v>5.103000000000001</v>
      </c>
    </row>
    <row r="533" spans="1:5" s="27" customFormat="1" ht="23.25">
      <c r="A533" s="21" t="s">
        <v>1064</v>
      </c>
      <c r="B533" s="15" t="s">
        <v>1065</v>
      </c>
      <c r="C533" s="5">
        <f>7.29+(7.29*5/100)</f>
        <v>7.6545000000000005</v>
      </c>
      <c r="D533" s="5" t="s">
        <v>104</v>
      </c>
      <c r="E533" s="5">
        <f>C533</f>
        <v>7.6545000000000005</v>
      </c>
    </row>
    <row r="534" spans="1:5" s="27" customFormat="1" ht="23.25">
      <c r="A534" s="21" t="s">
        <v>1067</v>
      </c>
      <c r="B534" s="15" t="s">
        <v>1068</v>
      </c>
      <c r="C534" s="5"/>
      <c r="D534" s="5"/>
      <c r="E534" s="5"/>
    </row>
    <row r="535" spans="1:5" s="27" customFormat="1" ht="23.25">
      <c r="A535" s="21" t="s">
        <v>1069</v>
      </c>
      <c r="B535" s="15" t="s">
        <v>1043</v>
      </c>
      <c r="C535" s="5">
        <f>4.86+(4.86*5/100)</f>
        <v>5.103000000000001</v>
      </c>
      <c r="D535" s="5" t="s">
        <v>104</v>
      </c>
      <c r="E535" s="5">
        <f aca="true" t="shared" si="23" ref="E535:E545">C535</f>
        <v>5.103000000000001</v>
      </c>
    </row>
    <row r="536" spans="1:5" s="27" customFormat="1" ht="23.25">
      <c r="A536" s="21" t="s">
        <v>1070</v>
      </c>
      <c r="B536" s="15" t="s">
        <v>1035</v>
      </c>
      <c r="C536" s="5">
        <f>7.29+(7.29*5/100)</f>
        <v>7.6545000000000005</v>
      </c>
      <c r="D536" s="5" t="s">
        <v>104</v>
      </c>
      <c r="E536" s="5">
        <f t="shared" si="23"/>
        <v>7.6545000000000005</v>
      </c>
    </row>
    <row r="537" spans="1:5" s="27" customFormat="1" ht="23.25">
      <c r="A537" s="21" t="s">
        <v>1071</v>
      </c>
      <c r="B537" s="15" t="s">
        <v>1072</v>
      </c>
      <c r="C537" s="5">
        <f>4.86+(4.86*5/100)</f>
        <v>5.103000000000001</v>
      </c>
      <c r="D537" s="5" t="s">
        <v>104</v>
      </c>
      <c r="E537" s="5">
        <f t="shared" si="23"/>
        <v>5.103000000000001</v>
      </c>
    </row>
    <row r="538" spans="1:5" s="27" customFormat="1" ht="23.25">
      <c r="A538" s="21" t="s">
        <v>1073</v>
      </c>
      <c r="B538" s="15" t="s">
        <v>1074</v>
      </c>
      <c r="C538" s="5">
        <f>7.29+(7.29*5/100)</f>
        <v>7.6545000000000005</v>
      </c>
      <c r="D538" s="5" t="s">
        <v>104</v>
      </c>
      <c r="E538" s="5">
        <f t="shared" si="23"/>
        <v>7.6545000000000005</v>
      </c>
    </row>
    <row r="539" spans="1:5" s="27" customFormat="1" ht="23.25">
      <c r="A539" s="21" t="s">
        <v>1075</v>
      </c>
      <c r="B539" s="15" t="s">
        <v>448</v>
      </c>
      <c r="C539" s="5">
        <f>7.29+(7.29*5/100)</f>
        <v>7.6545000000000005</v>
      </c>
      <c r="D539" s="5" t="s">
        <v>104</v>
      </c>
      <c r="E539" s="5">
        <f t="shared" si="23"/>
        <v>7.6545000000000005</v>
      </c>
    </row>
    <row r="540" spans="1:5" s="27" customFormat="1" ht="23.25">
      <c r="A540" s="21" t="s">
        <v>449</v>
      </c>
      <c r="B540" s="15" t="s">
        <v>225</v>
      </c>
      <c r="C540" s="5">
        <f>4.86+(4.86*5/100)</f>
        <v>5.103000000000001</v>
      </c>
      <c r="D540" s="5" t="s">
        <v>104</v>
      </c>
      <c r="E540" s="5">
        <f t="shared" si="23"/>
        <v>5.103000000000001</v>
      </c>
    </row>
    <row r="541" spans="1:5" s="27" customFormat="1" ht="23.25">
      <c r="A541" s="21" t="s">
        <v>226</v>
      </c>
      <c r="B541" s="15" t="s">
        <v>227</v>
      </c>
      <c r="C541" s="5">
        <f>3.4+(3.4*5/100)</f>
        <v>3.57</v>
      </c>
      <c r="D541" s="5" t="s">
        <v>104</v>
      </c>
      <c r="E541" s="5">
        <f t="shared" si="23"/>
        <v>3.57</v>
      </c>
    </row>
    <row r="542" spans="1:5" s="27" customFormat="1" ht="23.25">
      <c r="A542" s="21" t="s">
        <v>228</v>
      </c>
      <c r="B542" s="15" t="s">
        <v>417</v>
      </c>
      <c r="C542" s="5">
        <f>4.86+(4.86*5/100)</f>
        <v>5.103000000000001</v>
      </c>
      <c r="D542" s="5" t="s">
        <v>104</v>
      </c>
      <c r="E542" s="5">
        <f t="shared" si="23"/>
        <v>5.103000000000001</v>
      </c>
    </row>
    <row r="543" spans="1:5" s="27" customFormat="1" ht="23.25">
      <c r="A543" s="21" t="s">
        <v>418</v>
      </c>
      <c r="B543" s="15" t="s">
        <v>419</v>
      </c>
      <c r="C543" s="5">
        <f>7.29+(7.29*5/100)</f>
        <v>7.6545000000000005</v>
      </c>
      <c r="D543" s="5" t="s">
        <v>104</v>
      </c>
      <c r="E543" s="5">
        <f t="shared" si="23"/>
        <v>7.6545000000000005</v>
      </c>
    </row>
    <row r="544" spans="1:5" s="27" customFormat="1" ht="23.25">
      <c r="A544" s="21" t="s">
        <v>420</v>
      </c>
      <c r="B544" s="15" t="s">
        <v>421</v>
      </c>
      <c r="C544" s="5">
        <f>7.29+(7.29*5/100)</f>
        <v>7.6545000000000005</v>
      </c>
      <c r="D544" s="5" t="s">
        <v>104</v>
      </c>
      <c r="E544" s="5">
        <f t="shared" si="23"/>
        <v>7.6545000000000005</v>
      </c>
    </row>
    <row r="545" spans="1:5" s="27" customFormat="1" ht="23.25">
      <c r="A545" s="21" t="s">
        <v>422</v>
      </c>
      <c r="B545" s="15" t="s">
        <v>423</v>
      </c>
      <c r="C545" s="5">
        <f>12.15+(12.15*5/100)</f>
        <v>12.7575</v>
      </c>
      <c r="D545" s="5" t="s">
        <v>104</v>
      </c>
      <c r="E545" s="5">
        <f t="shared" si="23"/>
        <v>12.7575</v>
      </c>
    </row>
    <row r="546" spans="1:5" s="27" customFormat="1" ht="23.25">
      <c r="A546" s="21" t="s">
        <v>424</v>
      </c>
      <c r="B546" s="15" t="s">
        <v>963</v>
      </c>
      <c r="C546" s="5"/>
      <c r="D546" s="6"/>
      <c r="E546" s="5"/>
    </row>
    <row r="547" spans="1:5" s="27" customFormat="1" ht="23.25">
      <c r="A547" s="21"/>
      <c r="B547" s="15" t="s">
        <v>234</v>
      </c>
      <c r="C547" s="5">
        <f>9.72+(9.72*5/100)</f>
        <v>10.206000000000001</v>
      </c>
      <c r="D547" s="5" t="s">
        <v>104</v>
      </c>
      <c r="E547" s="5">
        <f>C547</f>
        <v>10.206000000000001</v>
      </c>
    </row>
    <row r="548" spans="1:5" s="27" customFormat="1" ht="23.25">
      <c r="A548" s="21"/>
      <c r="B548" s="15" t="s">
        <v>236</v>
      </c>
      <c r="C548" s="5">
        <f>9.72+(9.72*5/100)</f>
        <v>10.206000000000001</v>
      </c>
      <c r="D548" s="5" t="s">
        <v>104</v>
      </c>
      <c r="E548" s="5">
        <f>C548</f>
        <v>10.206000000000001</v>
      </c>
    </row>
    <row r="549" spans="1:5" s="27" customFormat="1" ht="23.25">
      <c r="A549" s="21" t="s">
        <v>964</v>
      </c>
      <c r="B549" s="15" t="s">
        <v>288</v>
      </c>
      <c r="C549" s="5">
        <f>4.86+(4.86*5/100)</f>
        <v>5.103000000000001</v>
      </c>
      <c r="D549" s="5" t="s">
        <v>104</v>
      </c>
      <c r="E549" s="5">
        <f>C549</f>
        <v>5.103000000000001</v>
      </c>
    </row>
    <row r="550" spans="1:5" s="27" customFormat="1" ht="23.25">
      <c r="A550" s="21" t="s">
        <v>289</v>
      </c>
      <c r="B550" s="15" t="s">
        <v>965</v>
      </c>
      <c r="C550" s="5">
        <f>23.02+(23.02*5/100)</f>
        <v>24.171</v>
      </c>
      <c r="D550" s="5" t="s">
        <v>104</v>
      </c>
      <c r="E550" s="5">
        <f>C550</f>
        <v>24.171</v>
      </c>
    </row>
    <row r="551" spans="1:5" s="27" customFormat="1" ht="23.25">
      <c r="A551" s="21" t="s">
        <v>966</v>
      </c>
      <c r="B551" s="15" t="s">
        <v>967</v>
      </c>
      <c r="C551" s="5">
        <f>22.5+(22.5*5/100)</f>
        <v>23.625</v>
      </c>
      <c r="D551" s="5">
        <v>15.79</v>
      </c>
      <c r="E551" s="5">
        <f>C551+D551</f>
        <v>39.415</v>
      </c>
    </row>
    <row r="552" spans="1:5" s="27" customFormat="1" ht="23.25">
      <c r="A552" s="21" t="s">
        <v>511</v>
      </c>
      <c r="B552" s="15" t="s">
        <v>512</v>
      </c>
      <c r="C552" s="5"/>
      <c r="D552" s="5"/>
      <c r="E552" s="5"/>
    </row>
    <row r="553" spans="1:5" s="27" customFormat="1" ht="23.25">
      <c r="A553" s="21" t="s">
        <v>513</v>
      </c>
      <c r="B553" s="15" t="s">
        <v>514</v>
      </c>
      <c r="C553" s="5"/>
      <c r="D553" s="5"/>
      <c r="E553" s="5"/>
    </row>
    <row r="554" spans="1:5" s="27" customFormat="1" ht="23.25">
      <c r="A554" s="21" t="s">
        <v>515</v>
      </c>
      <c r="B554" s="15" t="s">
        <v>1043</v>
      </c>
      <c r="C554" s="5">
        <f>4.86+(4.86*5/100)</f>
        <v>5.103000000000001</v>
      </c>
      <c r="D554" s="5" t="s">
        <v>104</v>
      </c>
      <c r="E554" s="5">
        <f>C554</f>
        <v>5.103000000000001</v>
      </c>
    </row>
    <row r="555" spans="1:5" s="27" customFormat="1" ht="23.25">
      <c r="A555" s="21" t="s">
        <v>516</v>
      </c>
      <c r="B555" s="15" t="s">
        <v>1035</v>
      </c>
      <c r="C555" s="5">
        <f>7.29+(7.29*5/100)</f>
        <v>7.6545000000000005</v>
      </c>
      <c r="D555" s="5" t="s">
        <v>104</v>
      </c>
      <c r="E555" s="5">
        <f>C555</f>
        <v>7.6545000000000005</v>
      </c>
    </row>
    <row r="556" spans="1:5" s="27" customFormat="1" ht="23.25">
      <c r="A556" s="21" t="s">
        <v>517</v>
      </c>
      <c r="B556" s="15" t="s">
        <v>518</v>
      </c>
      <c r="C556" s="5">
        <f>7.29+(7.29*5/100)</f>
        <v>7.6545000000000005</v>
      </c>
      <c r="D556" s="5" t="s">
        <v>104</v>
      </c>
      <c r="E556" s="5">
        <f>C556</f>
        <v>7.6545000000000005</v>
      </c>
    </row>
    <row r="557" spans="1:5" s="27" customFormat="1" ht="26.25">
      <c r="A557" s="49" t="s">
        <v>425</v>
      </c>
      <c r="B557" s="49"/>
      <c r="C557" s="49"/>
      <c r="D557" s="49"/>
      <c r="E557" s="49"/>
    </row>
    <row r="558" spans="1:5" s="27" customFormat="1" ht="26.25">
      <c r="A558" s="49" t="s">
        <v>29</v>
      </c>
      <c r="B558" s="49"/>
      <c r="C558" s="49"/>
      <c r="D558" s="49"/>
      <c r="E558" s="49"/>
    </row>
    <row r="559" spans="1:5" s="27" customFormat="1" ht="46.5">
      <c r="A559" s="21" t="s">
        <v>404</v>
      </c>
      <c r="B559" s="2" t="s">
        <v>30</v>
      </c>
      <c r="C559" s="5">
        <f>8.45+(8.45*5/100)</f>
        <v>8.872499999999999</v>
      </c>
      <c r="D559" s="5" t="s">
        <v>104</v>
      </c>
      <c r="E559" s="5">
        <f aca="true" t="shared" si="24" ref="E559:E565">C559</f>
        <v>8.872499999999999</v>
      </c>
    </row>
    <row r="560" spans="1:5" s="27" customFormat="1" ht="46.5">
      <c r="A560" s="21" t="s">
        <v>405</v>
      </c>
      <c r="B560" s="2" t="s">
        <v>398</v>
      </c>
      <c r="C560" s="5">
        <f>10.14+(10.14*5/100)</f>
        <v>10.647</v>
      </c>
      <c r="D560" s="5" t="s">
        <v>104</v>
      </c>
      <c r="E560" s="5">
        <f t="shared" si="24"/>
        <v>10.647</v>
      </c>
    </row>
    <row r="561" spans="1:5" s="27" customFormat="1" ht="46.5">
      <c r="A561" s="21" t="s">
        <v>406</v>
      </c>
      <c r="B561" s="2" t="s">
        <v>399</v>
      </c>
      <c r="C561" s="5">
        <f>10.14+(10.14*5/100)</f>
        <v>10.647</v>
      </c>
      <c r="D561" s="5" t="s">
        <v>104</v>
      </c>
      <c r="E561" s="5">
        <f t="shared" si="24"/>
        <v>10.647</v>
      </c>
    </row>
    <row r="562" spans="1:5" s="27" customFormat="1" ht="46.5">
      <c r="A562" s="21" t="s">
        <v>407</v>
      </c>
      <c r="B562" s="2" t="s">
        <v>400</v>
      </c>
      <c r="C562" s="5">
        <f>10.14+(10.14*5/100)</f>
        <v>10.647</v>
      </c>
      <c r="D562" s="5" t="s">
        <v>104</v>
      </c>
      <c r="E562" s="5">
        <f t="shared" si="24"/>
        <v>10.647</v>
      </c>
    </row>
    <row r="563" spans="1:5" s="27" customFormat="1" ht="46.5">
      <c r="A563" s="21" t="s">
        <v>408</v>
      </c>
      <c r="B563" s="2" t="s">
        <v>401</v>
      </c>
      <c r="C563" s="5">
        <f>8.45+(8.45*5/100)</f>
        <v>8.872499999999999</v>
      </c>
      <c r="D563" s="5" t="s">
        <v>104</v>
      </c>
      <c r="E563" s="5">
        <f t="shared" si="24"/>
        <v>8.872499999999999</v>
      </c>
    </row>
    <row r="564" spans="1:5" s="27" customFormat="1" ht="73.5" customHeight="1">
      <c r="A564" s="21" t="s">
        <v>409</v>
      </c>
      <c r="B564" s="2" t="s">
        <v>402</v>
      </c>
      <c r="C564" s="5">
        <f>10.14+(10.14*5/100)</f>
        <v>10.647</v>
      </c>
      <c r="D564" s="5" t="s">
        <v>104</v>
      </c>
      <c r="E564" s="5">
        <f t="shared" si="24"/>
        <v>10.647</v>
      </c>
    </row>
    <row r="565" spans="1:5" s="27" customFormat="1" ht="98.25" customHeight="1">
      <c r="A565" s="21" t="s">
        <v>410</v>
      </c>
      <c r="B565" s="2" t="s">
        <v>403</v>
      </c>
      <c r="C565" s="5">
        <f>16.9+(16.9*5/100)</f>
        <v>17.744999999999997</v>
      </c>
      <c r="D565" s="5" t="s">
        <v>104</v>
      </c>
      <c r="E565" s="5">
        <f t="shared" si="24"/>
        <v>17.744999999999997</v>
      </c>
    </row>
    <row r="566" spans="1:5" s="27" customFormat="1" ht="26.25">
      <c r="A566" s="49" t="s">
        <v>425</v>
      </c>
      <c r="B566" s="49"/>
      <c r="C566" s="49"/>
      <c r="D566" s="49"/>
      <c r="E566" s="49"/>
    </row>
    <row r="567" spans="1:5" s="27" customFormat="1" ht="46.5">
      <c r="A567" s="21" t="s">
        <v>100</v>
      </c>
      <c r="B567" s="2" t="s">
        <v>884</v>
      </c>
      <c r="C567" s="5">
        <f>58.92+(58.92*5/100)</f>
        <v>61.866</v>
      </c>
      <c r="D567" s="5">
        <v>0.56</v>
      </c>
      <c r="E567" s="5">
        <f>C567+D567</f>
        <v>62.426</v>
      </c>
    </row>
    <row r="568" spans="1:5" s="27" customFormat="1" ht="46.5">
      <c r="A568" s="21" t="s">
        <v>426</v>
      </c>
      <c r="B568" s="2" t="s">
        <v>885</v>
      </c>
      <c r="C568" s="5">
        <f>77.1+(77.1*5/100)</f>
        <v>80.955</v>
      </c>
      <c r="D568" s="5">
        <v>57.48</v>
      </c>
      <c r="E568" s="5">
        <f aca="true" t="shared" si="25" ref="E568:E584">C568+D568</f>
        <v>138.435</v>
      </c>
    </row>
    <row r="569" spans="1:5" s="27" customFormat="1" ht="46.5">
      <c r="A569" s="21" t="s">
        <v>427</v>
      </c>
      <c r="B569" s="2" t="s">
        <v>886</v>
      </c>
      <c r="C569" s="5">
        <f>47.56+(47.56*5/100)</f>
        <v>49.938</v>
      </c>
      <c r="D569" s="5">
        <v>0.56</v>
      </c>
      <c r="E569" s="5">
        <f t="shared" si="25"/>
        <v>50.498000000000005</v>
      </c>
    </row>
    <row r="570" spans="1:5" s="27" customFormat="1" ht="46.5">
      <c r="A570" s="21" t="s">
        <v>428</v>
      </c>
      <c r="B570" s="2" t="s">
        <v>887</v>
      </c>
      <c r="C570" s="5">
        <f>60.22+(60.22*5/100)</f>
        <v>63.231</v>
      </c>
      <c r="D570" s="5">
        <v>57.48</v>
      </c>
      <c r="E570" s="5">
        <f t="shared" si="25"/>
        <v>120.711</v>
      </c>
    </row>
    <row r="571" spans="1:5" s="27" customFormat="1" ht="46.5">
      <c r="A571" s="21" t="s">
        <v>429</v>
      </c>
      <c r="B571" s="2" t="s">
        <v>888</v>
      </c>
      <c r="C571" s="5">
        <f>59.44+(59.44*5/100)</f>
        <v>62.412</v>
      </c>
      <c r="D571" s="5">
        <v>0.56</v>
      </c>
      <c r="E571" s="5">
        <f t="shared" si="25"/>
        <v>62.972</v>
      </c>
    </row>
    <row r="572" spans="1:5" s="27" customFormat="1" ht="46.5">
      <c r="A572" s="21" t="s">
        <v>430</v>
      </c>
      <c r="B572" s="2" t="s">
        <v>889</v>
      </c>
      <c r="C572" s="5">
        <f>77.1+(77.1*5/100)</f>
        <v>80.955</v>
      </c>
      <c r="D572" s="5">
        <v>57.48</v>
      </c>
      <c r="E572" s="5">
        <f t="shared" si="25"/>
        <v>138.435</v>
      </c>
    </row>
    <row r="573" spans="1:5" s="27" customFormat="1" ht="46.5">
      <c r="A573" s="21" t="s">
        <v>431</v>
      </c>
      <c r="B573" s="2" t="s">
        <v>19</v>
      </c>
      <c r="C573" s="5">
        <f>71.33+(71.33*5/100)</f>
        <v>74.8965</v>
      </c>
      <c r="D573" s="5">
        <v>0.56</v>
      </c>
      <c r="E573" s="5">
        <f t="shared" si="25"/>
        <v>75.4565</v>
      </c>
    </row>
    <row r="574" spans="1:5" s="27" customFormat="1" ht="46.5">
      <c r="A574" s="21" t="s">
        <v>432</v>
      </c>
      <c r="B574" s="2" t="s">
        <v>20</v>
      </c>
      <c r="C574" s="5">
        <f>92.52+(92.52*5/100)</f>
        <v>97.146</v>
      </c>
      <c r="D574" s="5">
        <v>57.48</v>
      </c>
      <c r="E574" s="5">
        <f t="shared" si="25"/>
        <v>154.626</v>
      </c>
    </row>
    <row r="575" spans="1:5" s="27" customFormat="1" ht="46.5">
      <c r="A575" s="21" t="s">
        <v>433</v>
      </c>
      <c r="B575" s="2" t="s">
        <v>21</v>
      </c>
      <c r="C575" s="5">
        <f>71.33+(71.33*5/100)</f>
        <v>74.8965</v>
      </c>
      <c r="D575" s="5">
        <v>0.56</v>
      </c>
      <c r="E575" s="5">
        <f t="shared" si="25"/>
        <v>75.4565</v>
      </c>
    </row>
    <row r="576" spans="1:5" s="27" customFormat="1" ht="46.5">
      <c r="A576" s="21" t="s">
        <v>434</v>
      </c>
      <c r="B576" s="2" t="s">
        <v>22</v>
      </c>
      <c r="C576" s="5">
        <f>92.52+(92.52*5/100)</f>
        <v>97.146</v>
      </c>
      <c r="D576" s="5">
        <v>57.48</v>
      </c>
      <c r="E576" s="5">
        <f t="shared" si="25"/>
        <v>154.626</v>
      </c>
    </row>
    <row r="577" spans="1:5" s="27" customFormat="1" ht="46.5">
      <c r="A577" s="21" t="s">
        <v>435</v>
      </c>
      <c r="B577" s="2" t="s">
        <v>23</v>
      </c>
      <c r="C577" s="5">
        <f>59.44+(59.44*5/100)</f>
        <v>62.412</v>
      </c>
      <c r="D577" s="5">
        <v>0.56</v>
      </c>
      <c r="E577" s="5">
        <f t="shared" si="25"/>
        <v>62.972</v>
      </c>
    </row>
    <row r="578" spans="1:5" s="27" customFormat="1" ht="46.5">
      <c r="A578" s="21" t="s">
        <v>436</v>
      </c>
      <c r="B578" s="2" t="s">
        <v>24</v>
      </c>
      <c r="C578" s="5">
        <f>77.1+(77.1*5/100)</f>
        <v>80.955</v>
      </c>
      <c r="D578" s="5">
        <v>57.48</v>
      </c>
      <c r="E578" s="5">
        <f t="shared" si="25"/>
        <v>138.435</v>
      </c>
    </row>
    <row r="579" spans="1:5" s="27" customFormat="1" ht="46.5">
      <c r="A579" s="21" t="s">
        <v>437</v>
      </c>
      <c r="B579" s="2" t="s">
        <v>411</v>
      </c>
      <c r="C579" s="5">
        <f>23.78+(23.78*5/100)</f>
        <v>24.969</v>
      </c>
      <c r="D579" s="5">
        <v>0.56</v>
      </c>
      <c r="E579" s="5">
        <f>C579+D579</f>
        <v>25.529</v>
      </c>
    </row>
    <row r="580" spans="1:5" s="27" customFormat="1" ht="46.5">
      <c r="A580" s="21" t="s">
        <v>438</v>
      </c>
      <c r="B580" s="2" t="s">
        <v>218</v>
      </c>
      <c r="C580" s="5">
        <f>30.84+(30.84*5/100)</f>
        <v>32.382</v>
      </c>
      <c r="D580" s="5">
        <v>57.48</v>
      </c>
      <c r="E580" s="5">
        <f t="shared" si="25"/>
        <v>89.862</v>
      </c>
    </row>
    <row r="581" spans="1:5" s="27" customFormat="1" ht="46.5">
      <c r="A581" s="21" t="s">
        <v>1019</v>
      </c>
      <c r="B581" s="2" t="s">
        <v>25</v>
      </c>
      <c r="C581" s="5">
        <f>57.98+(57.98*5/100)</f>
        <v>60.879</v>
      </c>
      <c r="D581" s="5">
        <v>0.56</v>
      </c>
      <c r="E581" s="5">
        <f t="shared" si="25"/>
        <v>61.439</v>
      </c>
    </row>
    <row r="582" spans="1:5" s="27" customFormat="1" ht="46.5">
      <c r="A582" s="21" t="s">
        <v>1020</v>
      </c>
      <c r="B582" s="2" t="s">
        <v>26</v>
      </c>
      <c r="C582" s="5">
        <f>77.1+(77.1*5/100)</f>
        <v>80.955</v>
      </c>
      <c r="D582" s="5">
        <v>57.48</v>
      </c>
      <c r="E582" s="5">
        <f t="shared" si="25"/>
        <v>138.435</v>
      </c>
    </row>
    <row r="583" spans="1:5" s="27" customFormat="1" ht="46.5">
      <c r="A583" s="21" t="s">
        <v>1021</v>
      </c>
      <c r="B583" s="2" t="s">
        <v>27</v>
      </c>
      <c r="C583" s="5">
        <f>59.44+(59.44*5/100)</f>
        <v>62.412</v>
      </c>
      <c r="D583" s="5">
        <v>0.56</v>
      </c>
      <c r="E583" s="5">
        <f t="shared" si="25"/>
        <v>62.972</v>
      </c>
    </row>
    <row r="584" spans="1:5" s="24" customFormat="1" ht="46.5">
      <c r="A584" s="21" t="s">
        <v>1022</v>
      </c>
      <c r="B584" s="2" t="s">
        <v>28</v>
      </c>
      <c r="C584" s="5">
        <f>77.1+(77.1*5/100)</f>
        <v>80.955</v>
      </c>
      <c r="D584" s="5">
        <v>57.48</v>
      </c>
      <c r="E584" s="5">
        <f t="shared" si="25"/>
        <v>138.435</v>
      </c>
    </row>
    <row r="585" spans="1:5" s="24" customFormat="1" ht="46.5">
      <c r="A585" s="21" t="s">
        <v>1197</v>
      </c>
      <c r="B585" s="2" t="s">
        <v>780</v>
      </c>
      <c r="C585" s="5">
        <f>89.04+(89.04*5/100)</f>
        <v>93.492</v>
      </c>
      <c r="D585" s="5">
        <v>57.48</v>
      </c>
      <c r="E585" s="5">
        <f>C585+D585</f>
        <v>150.972</v>
      </c>
    </row>
    <row r="586" spans="1:5" s="27" customFormat="1" ht="26.25">
      <c r="A586" s="49" t="s">
        <v>6</v>
      </c>
      <c r="B586" s="49"/>
      <c r="C586" s="49"/>
      <c r="D586" s="49"/>
      <c r="E586" s="49"/>
    </row>
    <row r="587" spans="1:5" s="27" customFormat="1" ht="23.25">
      <c r="A587" s="21" t="s">
        <v>131</v>
      </c>
      <c r="B587" s="2" t="s">
        <v>968</v>
      </c>
      <c r="C587" s="5"/>
      <c r="D587" s="5"/>
      <c r="E587" s="5"/>
    </row>
    <row r="588" spans="1:5" s="27" customFormat="1" ht="23.25">
      <c r="A588" s="21" t="s">
        <v>969</v>
      </c>
      <c r="B588" s="2" t="s">
        <v>970</v>
      </c>
      <c r="C588" s="5"/>
      <c r="D588" s="5"/>
      <c r="E588" s="7"/>
    </row>
    <row r="589" spans="1:5" s="27" customFormat="1" ht="69.75">
      <c r="A589" s="21" t="s">
        <v>971</v>
      </c>
      <c r="B589" s="2" t="s">
        <v>348</v>
      </c>
      <c r="C589" s="5">
        <f>3.56+(3.56*5/100)</f>
        <v>3.738</v>
      </c>
      <c r="D589" s="5">
        <v>0.12</v>
      </c>
      <c r="E589" s="7">
        <f>C589+D589</f>
        <v>3.858</v>
      </c>
    </row>
    <row r="590" spans="1:5" s="27" customFormat="1" ht="46.5">
      <c r="A590" s="21" t="s">
        <v>349</v>
      </c>
      <c r="B590" s="2" t="s">
        <v>350</v>
      </c>
      <c r="C590" s="5">
        <f>3.56+(3.56*5/100)</f>
        <v>3.738</v>
      </c>
      <c r="D590" s="5">
        <v>0.12</v>
      </c>
      <c r="E590" s="7">
        <f>C590+D590</f>
        <v>3.858</v>
      </c>
    </row>
    <row r="591" spans="1:5" s="27" customFormat="1" ht="23.25">
      <c r="A591" s="21" t="s">
        <v>292</v>
      </c>
      <c r="B591" s="2" t="s">
        <v>293</v>
      </c>
      <c r="C591" s="5">
        <f>3.56+(3.56*5/100)</f>
        <v>3.738</v>
      </c>
      <c r="D591" s="5">
        <v>0.12</v>
      </c>
      <c r="E591" s="7">
        <f>C591+D591</f>
        <v>3.858</v>
      </c>
    </row>
    <row r="592" spans="1:5" s="27" customFormat="1" ht="23.25">
      <c r="A592" s="21" t="s">
        <v>294</v>
      </c>
      <c r="B592" s="2" t="s">
        <v>295</v>
      </c>
      <c r="C592" s="5"/>
      <c r="D592" s="5"/>
      <c r="E592" s="7"/>
    </row>
    <row r="593" spans="1:5" s="27" customFormat="1" ht="69.75">
      <c r="A593" s="21" t="s">
        <v>296</v>
      </c>
      <c r="B593" s="2" t="s">
        <v>348</v>
      </c>
      <c r="C593" s="5">
        <f>5.93+(5.93*5/100)</f>
        <v>6.2265</v>
      </c>
      <c r="D593" s="5">
        <v>0.12</v>
      </c>
      <c r="E593" s="7">
        <f>C593+D593</f>
        <v>6.3465</v>
      </c>
    </row>
    <row r="594" spans="1:5" s="27" customFormat="1" ht="46.5">
      <c r="A594" s="21" t="s">
        <v>297</v>
      </c>
      <c r="B594" s="2" t="s">
        <v>350</v>
      </c>
      <c r="C594" s="5">
        <f>5.93+(5.93*5/100)</f>
        <v>6.2265</v>
      </c>
      <c r="D594" s="5">
        <v>0.12</v>
      </c>
      <c r="E594" s="7">
        <f>C594+D594</f>
        <v>6.3465</v>
      </c>
    </row>
    <row r="595" spans="1:5" s="27" customFormat="1" ht="23.25">
      <c r="A595" s="21" t="s">
        <v>298</v>
      </c>
      <c r="B595" s="2" t="s">
        <v>293</v>
      </c>
      <c r="C595" s="5">
        <f>5.93+(5.93*5/100)</f>
        <v>6.2265</v>
      </c>
      <c r="D595" s="5">
        <v>0.12</v>
      </c>
      <c r="E595" s="7">
        <f>C595+D595</f>
        <v>6.3465</v>
      </c>
    </row>
    <row r="596" spans="1:5" s="27" customFormat="1" ht="23.25">
      <c r="A596" s="21" t="s">
        <v>299</v>
      </c>
      <c r="B596" s="2" t="s">
        <v>300</v>
      </c>
      <c r="C596" s="5"/>
      <c r="D596" s="5"/>
      <c r="E596" s="7"/>
    </row>
    <row r="597" spans="1:5" s="27" customFormat="1" ht="69.75">
      <c r="A597" s="21" t="s">
        <v>301</v>
      </c>
      <c r="B597" s="2" t="s">
        <v>348</v>
      </c>
      <c r="C597" s="5">
        <f>3.56+(3.56*5/100)</f>
        <v>3.738</v>
      </c>
      <c r="D597" s="5">
        <v>0.12</v>
      </c>
      <c r="E597" s="7">
        <f>C597+D597</f>
        <v>3.858</v>
      </c>
    </row>
    <row r="598" spans="1:5" s="27" customFormat="1" ht="46.5">
      <c r="A598" s="21" t="s">
        <v>302</v>
      </c>
      <c r="B598" s="2" t="s">
        <v>350</v>
      </c>
      <c r="C598" s="5">
        <f>3.56+(3.56*5/100)</f>
        <v>3.738</v>
      </c>
      <c r="D598" s="5">
        <v>0.12</v>
      </c>
      <c r="E598" s="7">
        <f>C598+D598</f>
        <v>3.858</v>
      </c>
    </row>
    <row r="599" spans="1:5" s="27" customFormat="1" ht="23.25">
      <c r="A599" s="21" t="s">
        <v>303</v>
      </c>
      <c r="B599" s="2" t="s">
        <v>293</v>
      </c>
      <c r="C599" s="5">
        <f>3.56+(3.56*5/100)</f>
        <v>3.738</v>
      </c>
      <c r="D599" s="5">
        <v>0.12</v>
      </c>
      <c r="E599" s="7">
        <f>C599+D599</f>
        <v>3.858</v>
      </c>
    </row>
    <row r="600" spans="1:5" s="27" customFormat="1" ht="23.25">
      <c r="A600" s="21" t="s">
        <v>304</v>
      </c>
      <c r="B600" s="2" t="s">
        <v>305</v>
      </c>
      <c r="C600" s="5"/>
      <c r="D600" s="5"/>
      <c r="E600" s="7"/>
    </row>
    <row r="601" spans="1:5" s="27" customFormat="1" ht="69.75">
      <c r="A601" s="21" t="s">
        <v>306</v>
      </c>
      <c r="B601" s="2" t="s">
        <v>348</v>
      </c>
      <c r="C601" s="5">
        <f>4.75+(4.75*5/100)</f>
        <v>4.9875</v>
      </c>
      <c r="D601" s="5">
        <v>0.12</v>
      </c>
      <c r="E601" s="7">
        <f>C601+D601</f>
        <v>5.1075</v>
      </c>
    </row>
    <row r="602" spans="1:5" s="27" customFormat="1" ht="46.5">
      <c r="A602" s="21" t="s">
        <v>307</v>
      </c>
      <c r="B602" s="2" t="s">
        <v>350</v>
      </c>
      <c r="C602" s="5">
        <f>4.75+(4.75*5/100)</f>
        <v>4.9875</v>
      </c>
      <c r="D602" s="5">
        <v>0.12</v>
      </c>
      <c r="E602" s="7">
        <f>C602+D602</f>
        <v>5.1075</v>
      </c>
    </row>
    <row r="603" spans="1:5" s="27" customFormat="1" ht="23.25">
      <c r="A603" s="21" t="s">
        <v>308</v>
      </c>
      <c r="B603" s="2" t="s">
        <v>293</v>
      </c>
      <c r="C603" s="5">
        <f>4.75+(4.75*5/100)</f>
        <v>4.9875</v>
      </c>
      <c r="D603" s="5">
        <v>0.12</v>
      </c>
      <c r="E603" s="7">
        <f>C603+D603</f>
        <v>5.1075</v>
      </c>
    </row>
    <row r="604" spans="1:5" s="27" customFormat="1" ht="23.25">
      <c r="A604" s="21" t="s">
        <v>309</v>
      </c>
      <c r="B604" s="2" t="s">
        <v>455</v>
      </c>
      <c r="C604" s="5"/>
      <c r="D604" s="5"/>
      <c r="E604" s="5"/>
    </row>
    <row r="605" spans="1:5" s="27" customFormat="1" ht="69.75">
      <c r="A605" s="21" t="s">
        <v>310</v>
      </c>
      <c r="B605" s="2" t="s">
        <v>348</v>
      </c>
      <c r="C605" s="5">
        <f>2.37+(2.37*5/100)</f>
        <v>2.4885</v>
      </c>
      <c r="D605" s="5">
        <v>0.12</v>
      </c>
      <c r="E605" s="5">
        <f>C605+D605</f>
        <v>2.6085000000000003</v>
      </c>
    </row>
    <row r="606" spans="1:5" s="27" customFormat="1" ht="46.5">
      <c r="A606" s="21" t="s">
        <v>311</v>
      </c>
      <c r="B606" s="2" t="s">
        <v>350</v>
      </c>
      <c r="C606" s="5">
        <f>2.37+(2.37*5/100)</f>
        <v>2.4885</v>
      </c>
      <c r="D606" s="5">
        <v>0.12</v>
      </c>
      <c r="E606" s="5">
        <f>C606+D606</f>
        <v>2.6085000000000003</v>
      </c>
    </row>
    <row r="607" spans="1:5" s="27" customFormat="1" ht="23.25">
      <c r="A607" s="21" t="s">
        <v>312</v>
      </c>
      <c r="B607" s="2" t="s">
        <v>293</v>
      </c>
      <c r="C607" s="5">
        <f>2.37+(2.37*5/100)</f>
        <v>2.4885</v>
      </c>
      <c r="D607" s="5">
        <v>0.12</v>
      </c>
      <c r="E607" s="5">
        <f>C607+D607</f>
        <v>2.6085000000000003</v>
      </c>
    </row>
    <row r="608" spans="1:5" s="27" customFormat="1" ht="23.25">
      <c r="A608" s="21" t="s">
        <v>313</v>
      </c>
      <c r="B608" s="2" t="s">
        <v>984</v>
      </c>
      <c r="C608" s="5"/>
      <c r="D608" s="5"/>
      <c r="E608" s="5"/>
    </row>
    <row r="609" spans="1:5" s="27" customFormat="1" ht="69.75">
      <c r="A609" s="21" t="s">
        <v>314</v>
      </c>
      <c r="B609" s="2" t="s">
        <v>348</v>
      </c>
      <c r="C609" s="5">
        <f>2.37+(2.37*5/100)</f>
        <v>2.4885</v>
      </c>
      <c r="D609" s="5">
        <v>0.12</v>
      </c>
      <c r="E609" s="5">
        <f>C609+D609</f>
        <v>2.6085000000000003</v>
      </c>
    </row>
    <row r="610" spans="1:5" s="27" customFormat="1" ht="46.5">
      <c r="A610" s="21" t="s">
        <v>985</v>
      </c>
      <c r="B610" s="2" t="s">
        <v>350</v>
      </c>
      <c r="C610" s="5">
        <f>2.37+(2.37*5/100)</f>
        <v>2.4885</v>
      </c>
      <c r="D610" s="5">
        <v>0.12</v>
      </c>
      <c r="E610" s="5">
        <f>C610+D610</f>
        <v>2.6085000000000003</v>
      </c>
    </row>
    <row r="611" spans="1:5" s="27" customFormat="1" ht="23.25">
      <c r="A611" s="21" t="s">
        <v>986</v>
      </c>
      <c r="B611" s="2" t="s">
        <v>293</v>
      </c>
      <c r="C611" s="5">
        <f>2.37+(2.37*5/100)</f>
        <v>2.4885</v>
      </c>
      <c r="D611" s="5">
        <v>0.12</v>
      </c>
      <c r="E611" s="5">
        <f>C611+D611</f>
        <v>2.6085000000000003</v>
      </c>
    </row>
    <row r="612" spans="1:5" s="27" customFormat="1" ht="23.25">
      <c r="A612" s="21" t="s">
        <v>987</v>
      </c>
      <c r="B612" s="2" t="s">
        <v>988</v>
      </c>
      <c r="C612" s="5"/>
      <c r="D612" s="5"/>
      <c r="E612" s="7"/>
    </row>
    <row r="613" spans="1:5" s="27" customFormat="1" ht="69.75">
      <c r="A613" s="21" t="s">
        <v>890</v>
      </c>
      <c r="B613" s="2" t="s">
        <v>348</v>
      </c>
      <c r="C613" s="5">
        <f>4.75+(4.75*5/100)</f>
        <v>4.9875</v>
      </c>
      <c r="D613" s="5">
        <v>0.12</v>
      </c>
      <c r="E613" s="7">
        <f>C613+D613</f>
        <v>5.1075</v>
      </c>
    </row>
    <row r="614" spans="1:5" s="27" customFormat="1" ht="46.5">
      <c r="A614" s="21" t="s">
        <v>891</v>
      </c>
      <c r="B614" s="2" t="s">
        <v>350</v>
      </c>
      <c r="C614" s="5">
        <f>4.75+(4.75*5/100)</f>
        <v>4.9875</v>
      </c>
      <c r="D614" s="5">
        <v>0.12</v>
      </c>
      <c r="E614" s="7">
        <f>C614+D614</f>
        <v>5.1075</v>
      </c>
    </row>
    <row r="615" spans="1:5" s="27" customFormat="1" ht="27.75" customHeight="1">
      <c r="A615" s="21" t="s">
        <v>892</v>
      </c>
      <c r="B615" s="2" t="s">
        <v>293</v>
      </c>
      <c r="C615" s="5">
        <f>4.75+(4.75*5/100)</f>
        <v>4.9875</v>
      </c>
      <c r="D615" s="5">
        <v>0.12</v>
      </c>
      <c r="E615" s="7">
        <f>C615+D615</f>
        <v>5.1075</v>
      </c>
    </row>
    <row r="616" spans="1:5" s="27" customFormat="1" ht="23.25">
      <c r="A616" s="21" t="s">
        <v>893</v>
      </c>
      <c r="B616" s="2" t="s">
        <v>894</v>
      </c>
      <c r="C616" s="5"/>
      <c r="D616" s="5"/>
      <c r="E616" s="5"/>
    </row>
    <row r="617" spans="1:5" s="27" customFormat="1" ht="23.25">
      <c r="A617" s="21" t="s">
        <v>895</v>
      </c>
      <c r="B617" s="2" t="s">
        <v>896</v>
      </c>
      <c r="C617" s="5"/>
      <c r="D617" s="5"/>
      <c r="E617" s="7"/>
    </row>
    <row r="618" spans="1:5" s="27" customFormat="1" ht="69.75">
      <c r="A618" s="21" t="s">
        <v>897</v>
      </c>
      <c r="B618" s="2" t="s">
        <v>348</v>
      </c>
      <c r="C618" s="5">
        <f>4.75+(4.75*5/100)</f>
        <v>4.9875</v>
      </c>
      <c r="D618" s="5">
        <v>0.12</v>
      </c>
      <c r="E618" s="7">
        <f>C618+D618</f>
        <v>5.1075</v>
      </c>
    </row>
    <row r="619" spans="1:5" s="27" customFormat="1" ht="46.5">
      <c r="A619" s="21" t="s">
        <v>898</v>
      </c>
      <c r="B619" s="2" t="s">
        <v>350</v>
      </c>
      <c r="C619" s="5">
        <f>4.75+(4.75*5/100)</f>
        <v>4.9875</v>
      </c>
      <c r="D619" s="5">
        <v>0.12</v>
      </c>
      <c r="E619" s="7">
        <f>C619+D619</f>
        <v>5.1075</v>
      </c>
    </row>
    <row r="620" spans="1:5" s="27" customFormat="1" ht="23.25">
      <c r="A620" s="21" t="s">
        <v>899</v>
      </c>
      <c r="B620" s="2" t="s">
        <v>293</v>
      </c>
      <c r="C620" s="5">
        <f>4.75+(4.75*5/100)</f>
        <v>4.9875</v>
      </c>
      <c r="D620" s="5">
        <v>0.12</v>
      </c>
      <c r="E620" s="7">
        <f>C620+D620</f>
        <v>5.1075</v>
      </c>
    </row>
    <row r="621" spans="1:5" s="27" customFormat="1" ht="23.25">
      <c r="A621" s="21" t="s">
        <v>900</v>
      </c>
      <c r="B621" s="2" t="s">
        <v>901</v>
      </c>
      <c r="C621" s="5"/>
      <c r="D621" s="5"/>
      <c r="E621" s="7"/>
    </row>
    <row r="622" spans="1:5" s="27" customFormat="1" ht="69.75">
      <c r="A622" s="21" t="s">
        <v>902</v>
      </c>
      <c r="B622" s="2" t="s">
        <v>348</v>
      </c>
      <c r="C622" s="5">
        <f>2.37+(2.37*5/100)</f>
        <v>2.4885</v>
      </c>
      <c r="D622" s="5">
        <v>0.12</v>
      </c>
      <c r="E622" s="5">
        <f>C622+D622</f>
        <v>2.6085000000000003</v>
      </c>
    </row>
    <row r="623" spans="1:5" s="27" customFormat="1" ht="46.5">
      <c r="A623" s="21" t="s">
        <v>903</v>
      </c>
      <c r="B623" s="2" t="s">
        <v>350</v>
      </c>
      <c r="C623" s="5">
        <f>2.37+(2.37*5/100)</f>
        <v>2.4885</v>
      </c>
      <c r="D623" s="5">
        <v>0.12</v>
      </c>
      <c r="E623" s="5">
        <f>C623+D623</f>
        <v>2.6085000000000003</v>
      </c>
    </row>
    <row r="624" spans="1:5" s="27" customFormat="1" ht="23.25">
      <c r="A624" s="21" t="s">
        <v>904</v>
      </c>
      <c r="B624" s="2" t="s">
        <v>293</v>
      </c>
      <c r="C624" s="5">
        <f>2.37+(2.37*5/100)</f>
        <v>2.4885</v>
      </c>
      <c r="D624" s="5">
        <v>0.12</v>
      </c>
      <c r="E624" s="5">
        <f>C624+D624</f>
        <v>2.6085000000000003</v>
      </c>
    </row>
    <row r="625" spans="1:5" s="27" customFormat="1" ht="23.25">
      <c r="A625" s="21" t="s">
        <v>905</v>
      </c>
      <c r="B625" s="2" t="s">
        <v>906</v>
      </c>
      <c r="C625" s="5"/>
      <c r="D625" s="5"/>
      <c r="E625" s="7"/>
    </row>
    <row r="626" spans="1:5" s="27" customFormat="1" ht="69.75">
      <c r="A626" s="33" t="s">
        <v>907</v>
      </c>
      <c r="B626" s="2" t="s">
        <v>348</v>
      </c>
      <c r="C626" s="5">
        <f>3.56+(3.56*5/100)</f>
        <v>3.738</v>
      </c>
      <c r="D626" s="5">
        <v>0.12</v>
      </c>
      <c r="E626" s="7">
        <f>C626+D626</f>
        <v>3.858</v>
      </c>
    </row>
    <row r="627" spans="1:5" s="27" customFormat="1" ht="46.5">
      <c r="A627" s="21" t="s">
        <v>908</v>
      </c>
      <c r="B627" s="2" t="s">
        <v>350</v>
      </c>
      <c r="C627" s="5">
        <f>3.56+(3.56*5/100)</f>
        <v>3.738</v>
      </c>
      <c r="D627" s="5">
        <v>0.12</v>
      </c>
      <c r="E627" s="7">
        <f>C627+D627</f>
        <v>3.858</v>
      </c>
    </row>
    <row r="628" spans="1:5" s="27" customFormat="1" ht="23.25">
      <c r="A628" s="21" t="s">
        <v>909</v>
      </c>
      <c r="B628" s="2" t="s">
        <v>293</v>
      </c>
      <c r="C628" s="5">
        <f>3.56+(3.56*5/100)</f>
        <v>3.738</v>
      </c>
      <c r="D628" s="5">
        <v>0.12</v>
      </c>
      <c r="E628" s="7">
        <f>C628+D628</f>
        <v>3.858</v>
      </c>
    </row>
    <row r="629" spans="1:5" s="27" customFormat="1" ht="23.25">
      <c r="A629" s="21" t="s">
        <v>910</v>
      </c>
      <c r="B629" s="2" t="s">
        <v>911</v>
      </c>
      <c r="C629" s="5"/>
      <c r="D629" s="5"/>
      <c r="E629" s="7"/>
    </row>
    <row r="630" spans="1:5" s="27" customFormat="1" ht="69.75">
      <c r="A630" s="21" t="s">
        <v>912</v>
      </c>
      <c r="B630" s="2" t="s">
        <v>348</v>
      </c>
      <c r="C630" s="5">
        <f>6.02+(6.02*5/100)</f>
        <v>6.321</v>
      </c>
      <c r="D630" s="5">
        <v>0.15</v>
      </c>
      <c r="E630" s="7">
        <f>C630+D630</f>
        <v>6.471</v>
      </c>
    </row>
    <row r="631" spans="1:5" s="27" customFormat="1" ht="46.5">
      <c r="A631" s="21" t="s">
        <v>913</v>
      </c>
      <c r="B631" s="2" t="s">
        <v>350</v>
      </c>
      <c r="C631" s="5">
        <f>6.02+(6.02*5/100)</f>
        <v>6.321</v>
      </c>
      <c r="D631" s="5">
        <v>0.15</v>
      </c>
      <c r="E631" s="7">
        <f>C631+D631</f>
        <v>6.471</v>
      </c>
    </row>
    <row r="632" spans="1:5" s="27" customFormat="1" ht="23.25">
      <c r="A632" s="21" t="s">
        <v>914</v>
      </c>
      <c r="B632" s="2" t="s">
        <v>293</v>
      </c>
      <c r="C632" s="5">
        <f>6.02+(6.02*5/100)</f>
        <v>6.321</v>
      </c>
      <c r="D632" s="5">
        <v>0.15</v>
      </c>
      <c r="E632" s="7">
        <f>C632+D632</f>
        <v>6.471</v>
      </c>
    </row>
    <row r="633" spans="1:5" s="27" customFormat="1" ht="46.5">
      <c r="A633" s="21" t="s">
        <v>915</v>
      </c>
      <c r="B633" s="2" t="s">
        <v>916</v>
      </c>
      <c r="C633" s="5"/>
      <c r="D633" s="5"/>
      <c r="E633" s="7"/>
    </row>
    <row r="634" spans="1:5" s="27" customFormat="1" ht="69.75">
      <c r="A634" s="21" t="s">
        <v>917</v>
      </c>
      <c r="B634" s="2" t="s">
        <v>348</v>
      </c>
      <c r="C634" s="5">
        <f>7.12+(7.12*5/100)</f>
        <v>7.476</v>
      </c>
      <c r="D634" s="5">
        <v>0.15</v>
      </c>
      <c r="E634" s="7">
        <f>C634+D634</f>
        <v>7.626</v>
      </c>
    </row>
    <row r="635" spans="1:5" s="27" customFormat="1" ht="46.5">
      <c r="A635" s="21" t="s">
        <v>918</v>
      </c>
      <c r="B635" s="2" t="s">
        <v>350</v>
      </c>
      <c r="C635" s="5">
        <f>7.12+(7.12*5/100)</f>
        <v>7.476</v>
      </c>
      <c r="D635" s="5">
        <v>0.15</v>
      </c>
      <c r="E635" s="7">
        <f>C635+D635</f>
        <v>7.626</v>
      </c>
    </row>
    <row r="636" spans="1:5" s="27" customFormat="1" ht="23.25">
      <c r="A636" s="21" t="s">
        <v>919</v>
      </c>
      <c r="B636" s="2" t="s">
        <v>293</v>
      </c>
      <c r="C636" s="5">
        <f>7.12+(7.12*5/100)</f>
        <v>7.476</v>
      </c>
      <c r="D636" s="5">
        <v>0.15</v>
      </c>
      <c r="E636" s="7">
        <f>C636+D636</f>
        <v>7.626</v>
      </c>
    </row>
    <row r="637" spans="1:5" s="27" customFormat="1" ht="46.5">
      <c r="A637" s="21" t="s">
        <v>920</v>
      </c>
      <c r="B637" s="2" t="s">
        <v>921</v>
      </c>
      <c r="C637" s="5"/>
      <c r="D637" s="5"/>
      <c r="E637" s="7"/>
    </row>
    <row r="638" spans="1:5" s="27" customFormat="1" ht="69.75">
      <c r="A638" s="21" t="s">
        <v>922</v>
      </c>
      <c r="B638" s="2" t="s">
        <v>348</v>
      </c>
      <c r="C638" s="5">
        <f>5.93+(5.93*5/100)</f>
        <v>6.2265</v>
      </c>
      <c r="D638" s="5">
        <v>0.12</v>
      </c>
      <c r="E638" s="7">
        <f>C638+D638</f>
        <v>6.3465</v>
      </c>
    </row>
    <row r="639" spans="1:5" s="27" customFormat="1" ht="46.5">
      <c r="A639" s="21" t="s">
        <v>923</v>
      </c>
      <c r="B639" s="2" t="s">
        <v>350</v>
      </c>
      <c r="C639" s="5">
        <f>5.93+(5.93*5/100)</f>
        <v>6.2265</v>
      </c>
      <c r="D639" s="5">
        <v>0.12</v>
      </c>
      <c r="E639" s="7">
        <f>C639+D639</f>
        <v>6.3465</v>
      </c>
    </row>
    <row r="640" spans="1:5" s="27" customFormat="1" ht="23.25">
      <c r="A640" s="21" t="s">
        <v>924</v>
      </c>
      <c r="B640" s="2" t="s">
        <v>293</v>
      </c>
      <c r="C640" s="5">
        <f>5.93+(5.93*5/100)</f>
        <v>6.2265</v>
      </c>
      <c r="D640" s="5">
        <v>0.12</v>
      </c>
      <c r="E640" s="7">
        <f>C640+D640</f>
        <v>6.3465</v>
      </c>
    </row>
    <row r="641" spans="1:5" s="27" customFormat="1" ht="23.25">
      <c r="A641" s="21" t="s">
        <v>925</v>
      </c>
      <c r="B641" s="2" t="s">
        <v>926</v>
      </c>
      <c r="C641" s="5"/>
      <c r="D641" s="5"/>
      <c r="E641" s="7"/>
    </row>
    <row r="642" spans="1:5" s="27" customFormat="1" ht="69.75">
      <c r="A642" s="21" t="s">
        <v>927</v>
      </c>
      <c r="B642" s="2" t="s">
        <v>348</v>
      </c>
      <c r="C642" s="5">
        <f>3.56+(3.56*5/100)</f>
        <v>3.738</v>
      </c>
      <c r="D642" s="5">
        <v>0.12</v>
      </c>
      <c r="E642" s="7">
        <f>C642+D642</f>
        <v>3.858</v>
      </c>
    </row>
    <row r="643" spans="1:5" s="27" customFormat="1" ht="46.5">
      <c r="A643" s="21" t="s">
        <v>928</v>
      </c>
      <c r="B643" s="2" t="s">
        <v>350</v>
      </c>
      <c r="C643" s="5">
        <f>3.56+(3.56*5/100)</f>
        <v>3.738</v>
      </c>
      <c r="D643" s="5">
        <v>0.12</v>
      </c>
      <c r="E643" s="7">
        <f>C643+D643</f>
        <v>3.858</v>
      </c>
    </row>
    <row r="644" spans="1:5" s="27" customFormat="1" ht="23.25">
      <c r="A644" s="21" t="s">
        <v>929</v>
      </c>
      <c r="B644" s="2" t="s">
        <v>293</v>
      </c>
      <c r="C644" s="5">
        <f>3.56+(3.56*5/100)</f>
        <v>3.738</v>
      </c>
      <c r="D644" s="5">
        <v>0.12</v>
      </c>
      <c r="E644" s="7">
        <f>C644+D644</f>
        <v>3.858</v>
      </c>
    </row>
    <row r="645" spans="1:5" s="27" customFormat="1" ht="23.25">
      <c r="A645" s="21" t="s">
        <v>930</v>
      </c>
      <c r="B645" s="2" t="s">
        <v>931</v>
      </c>
      <c r="C645" s="5"/>
      <c r="D645" s="5"/>
      <c r="E645" s="5"/>
    </row>
    <row r="646" spans="1:5" s="27" customFormat="1" ht="69.75">
      <c r="A646" s="21" t="s">
        <v>932</v>
      </c>
      <c r="B646" s="2" t="s">
        <v>348</v>
      </c>
      <c r="C646" s="5">
        <f>4.75+(4.75*5/100)</f>
        <v>4.9875</v>
      </c>
      <c r="D646" s="5">
        <v>0.12</v>
      </c>
      <c r="E646" s="5">
        <f>C646+D646</f>
        <v>5.1075</v>
      </c>
    </row>
    <row r="647" spans="1:5" s="27" customFormat="1" ht="46.5">
      <c r="A647" s="21" t="s">
        <v>933</v>
      </c>
      <c r="B647" s="2" t="s">
        <v>350</v>
      </c>
      <c r="C647" s="5">
        <f>4.75+(4.75*5/100)</f>
        <v>4.9875</v>
      </c>
      <c r="D647" s="5">
        <v>0.12</v>
      </c>
      <c r="E647" s="5">
        <f>C647+D647</f>
        <v>5.1075</v>
      </c>
    </row>
    <row r="648" spans="1:5" s="32" customFormat="1" ht="23.25">
      <c r="A648" s="21" t="s">
        <v>934</v>
      </c>
      <c r="B648" s="2" t="s">
        <v>293</v>
      </c>
      <c r="C648" s="5">
        <f>4.75+(4.75*5/100)</f>
        <v>4.9875</v>
      </c>
      <c r="D648" s="5">
        <v>0.12</v>
      </c>
      <c r="E648" s="5">
        <f>C648+D648</f>
        <v>5.1075</v>
      </c>
    </row>
    <row r="649" spans="1:5" s="32" customFormat="1" ht="23.25">
      <c r="A649" s="21" t="s">
        <v>935</v>
      </c>
      <c r="B649" s="2" t="s">
        <v>939</v>
      </c>
      <c r="C649" s="5"/>
      <c r="D649" s="5"/>
      <c r="E649" s="7"/>
    </row>
    <row r="650" spans="1:5" s="32" customFormat="1" ht="69.75">
      <c r="A650" s="21" t="s">
        <v>936</v>
      </c>
      <c r="B650" s="2" t="s">
        <v>348</v>
      </c>
      <c r="C650" s="5">
        <f>4.75+(4.75*5/100)</f>
        <v>4.9875</v>
      </c>
      <c r="D650" s="5">
        <v>0.15</v>
      </c>
      <c r="E650" s="7">
        <f>C650+D650</f>
        <v>5.1375</v>
      </c>
    </row>
    <row r="651" spans="1:5" s="32" customFormat="1" ht="46.5">
      <c r="A651" s="21" t="s">
        <v>937</v>
      </c>
      <c r="B651" s="2" t="s">
        <v>350</v>
      </c>
      <c r="C651" s="5">
        <f>4.75+(4.75*5/100)</f>
        <v>4.9875</v>
      </c>
      <c r="D651" s="5">
        <v>0.15</v>
      </c>
      <c r="E651" s="7">
        <f>C651+D651</f>
        <v>5.1375</v>
      </c>
    </row>
    <row r="652" spans="1:5" s="27" customFormat="1" ht="23.25">
      <c r="A652" s="21" t="s">
        <v>938</v>
      </c>
      <c r="B652" s="2" t="s">
        <v>293</v>
      </c>
      <c r="C652" s="5">
        <f>4.75+(4.75*5/100)</f>
        <v>4.9875</v>
      </c>
      <c r="D652" s="5">
        <v>0.15</v>
      </c>
      <c r="E652" s="7">
        <f>C652+D652</f>
        <v>5.1375</v>
      </c>
    </row>
    <row r="653" spans="1:5" s="27" customFormat="1" ht="23.25">
      <c r="A653" s="21" t="s">
        <v>940</v>
      </c>
      <c r="B653" s="2" t="s">
        <v>941</v>
      </c>
      <c r="C653" s="5"/>
      <c r="D653" s="5"/>
      <c r="E653" s="7"/>
    </row>
    <row r="654" spans="1:5" s="27" customFormat="1" ht="69.75">
      <c r="A654" s="21" t="s">
        <v>942</v>
      </c>
      <c r="B654" s="2" t="s">
        <v>348</v>
      </c>
      <c r="C654" s="5">
        <f>4.75+(4.75*5/100)</f>
        <v>4.9875</v>
      </c>
      <c r="D654" s="5">
        <v>0.15</v>
      </c>
      <c r="E654" s="7">
        <f>C654+D654</f>
        <v>5.1375</v>
      </c>
    </row>
    <row r="655" spans="1:5" s="27" customFormat="1" ht="46.5">
      <c r="A655" s="21" t="s">
        <v>943</v>
      </c>
      <c r="B655" s="2" t="s">
        <v>350</v>
      </c>
      <c r="C655" s="5">
        <f>4.75+(4.75*5/100)</f>
        <v>4.9875</v>
      </c>
      <c r="D655" s="5">
        <v>0.15</v>
      </c>
      <c r="E655" s="7">
        <f>C655+D655</f>
        <v>5.1375</v>
      </c>
    </row>
    <row r="656" spans="1:5" s="27" customFormat="1" ht="23.25">
      <c r="A656" s="21" t="s">
        <v>944</v>
      </c>
      <c r="B656" s="2" t="s">
        <v>293</v>
      </c>
      <c r="C656" s="5">
        <f>4.75+(4.75*5/100)</f>
        <v>4.9875</v>
      </c>
      <c r="D656" s="5">
        <v>0.15</v>
      </c>
      <c r="E656" s="7">
        <f>C656+D656</f>
        <v>5.1375</v>
      </c>
    </row>
    <row r="657" spans="1:5" s="27" customFormat="1" ht="23.25">
      <c r="A657" s="21" t="s">
        <v>945</v>
      </c>
      <c r="B657" s="2" t="s">
        <v>946</v>
      </c>
      <c r="C657" s="5"/>
      <c r="D657" s="5"/>
      <c r="E657" s="7"/>
    </row>
    <row r="658" spans="1:5" s="27" customFormat="1" ht="69.75">
      <c r="A658" s="21" t="s">
        <v>947</v>
      </c>
      <c r="B658" s="2" t="s">
        <v>348</v>
      </c>
      <c r="C658" s="5">
        <f>4.75+(4.75*5/100)</f>
        <v>4.9875</v>
      </c>
      <c r="D658" s="5">
        <v>0.15</v>
      </c>
      <c r="E658" s="7">
        <f>C658+D658</f>
        <v>5.1375</v>
      </c>
    </row>
    <row r="659" spans="1:5" s="27" customFormat="1" ht="46.5">
      <c r="A659" s="21" t="s">
        <v>948</v>
      </c>
      <c r="B659" s="2" t="s">
        <v>350</v>
      </c>
      <c r="C659" s="5">
        <f>4.75+(4.75*5/100)</f>
        <v>4.9875</v>
      </c>
      <c r="D659" s="5">
        <v>0.15</v>
      </c>
      <c r="E659" s="7">
        <f>C659+D659</f>
        <v>5.1375</v>
      </c>
    </row>
    <row r="660" spans="1:5" s="27" customFormat="1" ht="23.25">
      <c r="A660" s="21" t="s">
        <v>949</v>
      </c>
      <c r="B660" s="2" t="s">
        <v>293</v>
      </c>
      <c r="C660" s="5">
        <f>4.75+(4.75*5/100)</f>
        <v>4.9875</v>
      </c>
      <c r="D660" s="5">
        <v>0.15</v>
      </c>
      <c r="E660" s="7">
        <f>C660+D660</f>
        <v>5.1375</v>
      </c>
    </row>
    <row r="661" spans="1:5" s="27" customFormat="1" ht="23.25">
      <c r="A661" s="21" t="s">
        <v>950</v>
      </c>
      <c r="B661" s="2" t="s">
        <v>953</v>
      </c>
      <c r="C661" s="5"/>
      <c r="D661" s="5"/>
      <c r="E661" s="7"/>
    </row>
    <row r="662" spans="1:5" s="27" customFormat="1" ht="69.75">
      <c r="A662" s="21" t="s">
        <v>951</v>
      </c>
      <c r="B662" s="2" t="s">
        <v>348</v>
      </c>
      <c r="C662" s="5">
        <f>7.12+(7.12*5/100)</f>
        <v>7.476</v>
      </c>
      <c r="D662" s="5">
        <v>0.15</v>
      </c>
      <c r="E662" s="7">
        <f>C662+D662</f>
        <v>7.626</v>
      </c>
    </row>
    <row r="663" spans="1:5" s="27" customFormat="1" ht="46.5">
      <c r="A663" s="21" t="s">
        <v>952</v>
      </c>
      <c r="B663" s="2" t="s">
        <v>350</v>
      </c>
      <c r="C663" s="5">
        <f>7.12+(7.12*5/100)</f>
        <v>7.476</v>
      </c>
      <c r="D663" s="5">
        <v>0.15</v>
      </c>
      <c r="E663" s="7">
        <f>C663+D663</f>
        <v>7.626</v>
      </c>
    </row>
    <row r="664" spans="1:5" s="27" customFormat="1" ht="23.25">
      <c r="A664" s="21" t="s">
        <v>954</v>
      </c>
      <c r="B664" s="2" t="s">
        <v>293</v>
      </c>
      <c r="C664" s="5">
        <f>7.12+(7.12*5/100)</f>
        <v>7.476</v>
      </c>
      <c r="D664" s="5">
        <v>0.15</v>
      </c>
      <c r="E664" s="7">
        <f>C664+D664</f>
        <v>7.626</v>
      </c>
    </row>
    <row r="665" spans="1:5" s="27" customFormat="1" ht="23.25">
      <c r="A665" s="21" t="s">
        <v>955</v>
      </c>
      <c r="B665" s="2" t="s">
        <v>956</v>
      </c>
      <c r="C665" s="5"/>
      <c r="D665" s="5"/>
      <c r="E665" s="7"/>
    </row>
    <row r="666" spans="1:5" s="27" customFormat="1" ht="69.75">
      <c r="A666" s="21" t="s">
        <v>957</v>
      </c>
      <c r="B666" s="2" t="s">
        <v>348</v>
      </c>
      <c r="C666" s="5">
        <f>7.12+(7.12*5/100)</f>
        <v>7.476</v>
      </c>
      <c r="D666" s="5">
        <v>0.15</v>
      </c>
      <c r="E666" s="7">
        <f>C666+D666</f>
        <v>7.626</v>
      </c>
    </row>
    <row r="667" spans="1:5" s="27" customFormat="1" ht="46.5">
      <c r="A667" s="21" t="s">
        <v>958</v>
      </c>
      <c r="B667" s="2" t="s">
        <v>350</v>
      </c>
      <c r="C667" s="5">
        <f>7.12+(7.12*5/100)</f>
        <v>7.476</v>
      </c>
      <c r="D667" s="5">
        <v>0.15</v>
      </c>
      <c r="E667" s="7">
        <f>C667+D667</f>
        <v>7.626</v>
      </c>
    </row>
    <row r="668" spans="1:5" s="27" customFormat="1" ht="23.25">
      <c r="A668" s="21" t="s">
        <v>959</v>
      </c>
      <c r="B668" s="2" t="s">
        <v>293</v>
      </c>
      <c r="C668" s="5">
        <f>7.12+(7.12*5/100)</f>
        <v>7.476</v>
      </c>
      <c r="D668" s="5">
        <v>0.15</v>
      </c>
      <c r="E668" s="7">
        <f>C668+D668</f>
        <v>7.626</v>
      </c>
    </row>
    <row r="669" spans="1:5" s="27" customFormat="1" ht="46.5">
      <c r="A669" s="21" t="s">
        <v>960</v>
      </c>
      <c r="B669" s="2" t="s">
        <v>377</v>
      </c>
      <c r="C669" s="5"/>
      <c r="D669" s="5"/>
      <c r="E669" s="7"/>
    </row>
    <row r="670" spans="1:5" s="27" customFormat="1" ht="69.75">
      <c r="A670" s="21" t="s">
        <v>378</v>
      </c>
      <c r="B670" s="2" t="s">
        <v>348</v>
      </c>
      <c r="C670" s="5">
        <f>11.86+(11.86*5/100)</f>
        <v>12.453</v>
      </c>
      <c r="D670" s="5">
        <v>0.15</v>
      </c>
      <c r="E670" s="7">
        <f>C670+D670</f>
        <v>12.603</v>
      </c>
    </row>
    <row r="671" spans="1:5" s="27" customFormat="1" ht="46.5">
      <c r="A671" s="21" t="s">
        <v>379</v>
      </c>
      <c r="B671" s="2" t="s">
        <v>350</v>
      </c>
      <c r="C671" s="5">
        <f>11.86+(11.86*5/100)</f>
        <v>12.453</v>
      </c>
      <c r="D671" s="5">
        <v>0.15</v>
      </c>
      <c r="E671" s="7">
        <f>C671+D671</f>
        <v>12.603</v>
      </c>
    </row>
    <row r="672" spans="1:5" s="27" customFormat="1" ht="23.25">
      <c r="A672" s="21" t="s">
        <v>380</v>
      </c>
      <c r="B672" s="2" t="s">
        <v>293</v>
      </c>
      <c r="C672" s="5">
        <f>11.86+(11.86*5/100)</f>
        <v>12.453</v>
      </c>
      <c r="D672" s="5">
        <v>0.15</v>
      </c>
      <c r="E672" s="7">
        <f>C672+D672</f>
        <v>12.603</v>
      </c>
    </row>
    <row r="673" spans="1:5" s="27" customFormat="1" ht="69.75">
      <c r="A673" s="21" t="s">
        <v>381</v>
      </c>
      <c r="B673" s="2" t="s">
        <v>385</v>
      </c>
      <c r="C673" s="5"/>
      <c r="D673" s="5"/>
      <c r="E673" s="7"/>
    </row>
    <row r="674" spans="1:5" s="27" customFormat="1" ht="69.75">
      <c r="A674" s="21" t="s">
        <v>382</v>
      </c>
      <c r="B674" s="2" t="s">
        <v>348</v>
      </c>
      <c r="C674" s="5">
        <f>11.86+(11.86*5/100)</f>
        <v>12.453</v>
      </c>
      <c r="D674" s="5">
        <v>0.2</v>
      </c>
      <c r="E674" s="7">
        <f>C674+D674</f>
        <v>12.652999999999999</v>
      </c>
    </row>
    <row r="675" spans="1:5" s="27" customFormat="1" ht="46.5">
      <c r="A675" s="21" t="s">
        <v>383</v>
      </c>
      <c r="B675" s="2" t="s">
        <v>350</v>
      </c>
      <c r="C675" s="5">
        <f>11.86+(11.86*5/100)</f>
        <v>12.453</v>
      </c>
      <c r="D675" s="5">
        <v>0.2</v>
      </c>
      <c r="E675" s="7">
        <f>C675+D675</f>
        <v>12.652999999999999</v>
      </c>
    </row>
    <row r="676" spans="1:5" s="27" customFormat="1" ht="23.25">
      <c r="A676" s="21" t="s">
        <v>384</v>
      </c>
      <c r="B676" s="2" t="s">
        <v>293</v>
      </c>
      <c r="C676" s="5">
        <f>11.86+(11.86*5/100)</f>
        <v>12.453</v>
      </c>
      <c r="D676" s="5">
        <v>0.2</v>
      </c>
      <c r="E676" s="7">
        <f>C676+D676</f>
        <v>12.652999999999999</v>
      </c>
    </row>
    <row r="677" spans="1:5" s="27" customFormat="1" ht="23.25">
      <c r="A677" s="21" t="s">
        <v>133</v>
      </c>
      <c r="B677" s="2" t="s">
        <v>386</v>
      </c>
      <c r="C677" s="5"/>
      <c r="D677" s="5"/>
      <c r="E677" s="5"/>
    </row>
    <row r="678" spans="1:5" s="27" customFormat="1" ht="23.25">
      <c r="A678" s="21" t="s">
        <v>387</v>
      </c>
      <c r="B678" s="2" t="s">
        <v>388</v>
      </c>
      <c r="C678" s="5"/>
      <c r="D678" s="5"/>
      <c r="E678" s="5"/>
    </row>
    <row r="679" spans="1:5" s="27" customFormat="1" ht="69.75">
      <c r="A679" s="21" t="s">
        <v>389</v>
      </c>
      <c r="B679" s="2" t="s">
        <v>348</v>
      </c>
      <c r="C679" s="5">
        <f>4.75+(4.75*5/100)</f>
        <v>4.9875</v>
      </c>
      <c r="D679" s="5">
        <v>0.12</v>
      </c>
      <c r="E679" s="7">
        <f>C679+D679</f>
        <v>5.1075</v>
      </c>
    </row>
    <row r="680" spans="1:5" s="27" customFormat="1" ht="46.5">
      <c r="A680" s="21" t="s">
        <v>390</v>
      </c>
      <c r="B680" s="2" t="s">
        <v>350</v>
      </c>
      <c r="C680" s="5">
        <f>4.75+(4.75*5/100)</f>
        <v>4.9875</v>
      </c>
      <c r="D680" s="5">
        <v>0.12</v>
      </c>
      <c r="E680" s="7">
        <f>C680+D680</f>
        <v>5.1075</v>
      </c>
    </row>
    <row r="681" spans="1:5" s="27" customFormat="1" ht="23.25">
      <c r="A681" s="21" t="s">
        <v>391</v>
      </c>
      <c r="B681" s="2" t="s">
        <v>293</v>
      </c>
      <c r="C681" s="5">
        <f>4.75+(4.75*5/100)</f>
        <v>4.9875</v>
      </c>
      <c r="D681" s="5">
        <v>0.12</v>
      </c>
      <c r="E681" s="7">
        <f>C681+D681</f>
        <v>5.1075</v>
      </c>
    </row>
    <row r="682" spans="1:5" s="27" customFormat="1" ht="23.25">
      <c r="A682" s="21" t="s">
        <v>392</v>
      </c>
      <c r="B682" s="2" t="s">
        <v>393</v>
      </c>
      <c r="C682" s="5"/>
      <c r="D682" s="5"/>
      <c r="E682" s="5"/>
    </row>
    <row r="683" spans="1:5" s="27" customFormat="1" ht="69.75">
      <c r="A683" s="21" t="s">
        <v>394</v>
      </c>
      <c r="B683" s="2" t="s">
        <v>348</v>
      </c>
      <c r="C683" s="5">
        <f>5.93+(5.93*5/100)</f>
        <v>6.2265</v>
      </c>
      <c r="D683" s="5">
        <v>0.15</v>
      </c>
      <c r="E683" s="7">
        <f>C683+D683</f>
        <v>6.3765</v>
      </c>
    </row>
    <row r="684" spans="1:5" s="27" customFormat="1" ht="46.5">
      <c r="A684" s="21" t="s">
        <v>395</v>
      </c>
      <c r="B684" s="2" t="s">
        <v>350</v>
      </c>
      <c r="C684" s="5">
        <f>5.93+(5.93*5/100)</f>
        <v>6.2265</v>
      </c>
      <c r="D684" s="5">
        <v>0.15</v>
      </c>
      <c r="E684" s="7">
        <f>C684+D684</f>
        <v>6.3765</v>
      </c>
    </row>
    <row r="685" spans="1:5" s="27" customFormat="1" ht="23.25">
      <c r="A685" s="21" t="s">
        <v>396</v>
      </c>
      <c r="B685" s="2" t="s">
        <v>293</v>
      </c>
      <c r="C685" s="5">
        <f>5.93+(5.93*5/100)</f>
        <v>6.2265</v>
      </c>
      <c r="D685" s="5">
        <v>0.15</v>
      </c>
      <c r="E685" s="7">
        <f>C685+D685</f>
        <v>6.3765</v>
      </c>
    </row>
    <row r="686" spans="1:5" s="27" customFormat="1" ht="23.25">
      <c r="A686" s="21" t="s">
        <v>397</v>
      </c>
      <c r="B686" s="2" t="s">
        <v>56</v>
      </c>
      <c r="C686" s="5"/>
      <c r="D686" s="5"/>
      <c r="E686" s="7"/>
    </row>
    <row r="687" spans="1:5" s="27" customFormat="1" ht="69.75">
      <c r="A687" s="21" t="s">
        <v>57</v>
      </c>
      <c r="B687" s="2" t="s">
        <v>348</v>
      </c>
      <c r="C687" s="5">
        <f>2.37+(2.37*5/100)</f>
        <v>2.4885</v>
      </c>
      <c r="D687" s="5">
        <v>0.12</v>
      </c>
      <c r="E687" s="7">
        <f>C687+D687</f>
        <v>2.6085000000000003</v>
      </c>
    </row>
    <row r="688" spans="1:5" s="27" customFormat="1" ht="46.5">
      <c r="A688" s="21" t="s">
        <v>58</v>
      </c>
      <c r="B688" s="2" t="s">
        <v>350</v>
      </c>
      <c r="C688" s="5">
        <f>2.37+(2.37*5/100)</f>
        <v>2.4885</v>
      </c>
      <c r="D688" s="5">
        <v>0.12</v>
      </c>
      <c r="E688" s="7">
        <f>C688+D688</f>
        <v>2.6085000000000003</v>
      </c>
    </row>
    <row r="689" spans="1:5" s="27" customFormat="1" ht="23.25">
      <c r="A689" s="21" t="s">
        <v>59</v>
      </c>
      <c r="B689" s="2" t="s">
        <v>293</v>
      </c>
      <c r="C689" s="5">
        <f>2.37+(2.37*5/100)</f>
        <v>2.4885</v>
      </c>
      <c r="D689" s="5">
        <v>0.12</v>
      </c>
      <c r="E689" s="7">
        <f>C689+D689</f>
        <v>2.6085000000000003</v>
      </c>
    </row>
    <row r="690" spans="1:5" s="27" customFormat="1" ht="23.25">
      <c r="A690" s="21" t="s">
        <v>60</v>
      </c>
      <c r="B690" s="2" t="s">
        <v>61</v>
      </c>
      <c r="C690" s="5"/>
      <c r="D690" s="5"/>
      <c r="E690" s="7"/>
    </row>
    <row r="691" spans="1:5" s="27" customFormat="1" ht="69.75">
      <c r="A691" s="21" t="s">
        <v>62</v>
      </c>
      <c r="B691" s="2" t="s">
        <v>348</v>
      </c>
      <c r="C691" s="5">
        <f>2.37+(2.37*5/100)</f>
        <v>2.4885</v>
      </c>
      <c r="D691" s="5">
        <v>0.12</v>
      </c>
      <c r="E691" s="7">
        <f>C691+D691</f>
        <v>2.6085000000000003</v>
      </c>
    </row>
    <row r="692" spans="1:5" s="27" customFormat="1" ht="46.5">
      <c r="A692" s="21" t="s">
        <v>63</v>
      </c>
      <c r="B692" s="2" t="s">
        <v>350</v>
      </c>
      <c r="C692" s="5">
        <f>2.37+(2.37*5/100)</f>
        <v>2.4885</v>
      </c>
      <c r="D692" s="5">
        <v>0.12</v>
      </c>
      <c r="E692" s="7">
        <f>C692+D692</f>
        <v>2.6085000000000003</v>
      </c>
    </row>
    <row r="693" spans="1:5" s="27" customFormat="1" ht="23.25">
      <c r="A693" s="21" t="s">
        <v>64</v>
      </c>
      <c r="B693" s="2" t="s">
        <v>293</v>
      </c>
      <c r="C693" s="5">
        <f>2.37+(2.37*5/100)</f>
        <v>2.4885</v>
      </c>
      <c r="D693" s="5">
        <v>0.12</v>
      </c>
      <c r="E693" s="7">
        <f>C693+D693</f>
        <v>2.6085000000000003</v>
      </c>
    </row>
    <row r="694" spans="1:5" s="27" customFormat="1" ht="23.25">
      <c r="A694" s="21" t="s">
        <v>96</v>
      </c>
      <c r="B694" s="2" t="s">
        <v>97</v>
      </c>
      <c r="C694" s="5"/>
      <c r="D694" s="5"/>
      <c r="E694" s="7"/>
    </row>
    <row r="695" spans="1:5" s="27" customFormat="1" ht="69.75">
      <c r="A695" s="21" t="s">
        <v>0</v>
      </c>
      <c r="B695" s="2" t="s">
        <v>348</v>
      </c>
      <c r="C695" s="5">
        <f>3.91+(3.91*5/100)</f>
        <v>4.1055</v>
      </c>
      <c r="D695" s="5">
        <v>0.12</v>
      </c>
      <c r="E695" s="7">
        <f>C695+D695</f>
        <v>4.2255</v>
      </c>
    </row>
    <row r="696" spans="1:5" s="27" customFormat="1" ht="46.5">
      <c r="A696" s="21" t="s">
        <v>1</v>
      </c>
      <c r="B696" s="2" t="s">
        <v>350</v>
      </c>
      <c r="C696" s="5">
        <f>3.91+(3.91*5/100)</f>
        <v>4.1055</v>
      </c>
      <c r="D696" s="5">
        <v>0.12</v>
      </c>
      <c r="E696" s="7">
        <f>C696+D696</f>
        <v>4.2255</v>
      </c>
    </row>
    <row r="697" spans="1:5" s="27" customFormat="1" ht="23.25">
      <c r="A697" s="21" t="s">
        <v>2</v>
      </c>
      <c r="B697" s="2" t="s">
        <v>293</v>
      </c>
      <c r="C697" s="5">
        <f>3.91+(3.91*5/100)</f>
        <v>4.1055</v>
      </c>
      <c r="D697" s="5">
        <v>0.12</v>
      </c>
      <c r="E697" s="7">
        <f>C697+D697</f>
        <v>4.2255</v>
      </c>
    </row>
    <row r="698" spans="1:5" s="27" customFormat="1" ht="23.25">
      <c r="A698" s="21" t="s">
        <v>65</v>
      </c>
      <c r="B698" s="2" t="s">
        <v>66</v>
      </c>
      <c r="C698" s="5"/>
      <c r="D698" s="5"/>
      <c r="E698" s="7"/>
    </row>
    <row r="699" spans="1:5" s="27" customFormat="1" ht="69.75">
      <c r="A699" s="21" t="s">
        <v>67</v>
      </c>
      <c r="B699" s="2" t="s">
        <v>348</v>
      </c>
      <c r="C699" s="5">
        <f>4.75+(4.75*5/100)</f>
        <v>4.9875</v>
      </c>
      <c r="D699" s="5">
        <v>0.12</v>
      </c>
      <c r="E699" s="7">
        <f>C699+D699</f>
        <v>5.1075</v>
      </c>
    </row>
    <row r="700" spans="1:5" s="27" customFormat="1" ht="46.5">
      <c r="A700" s="21" t="s">
        <v>68</v>
      </c>
      <c r="B700" s="2" t="s">
        <v>350</v>
      </c>
      <c r="C700" s="5">
        <f>4.75+(4.75*5/100)</f>
        <v>4.9875</v>
      </c>
      <c r="D700" s="5">
        <v>0.12</v>
      </c>
      <c r="E700" s="7">
        <f>C700+D700</f>
        <v>5.1075</v>
      </c>
    </row>
    <row r="701" spans="1:5" s="27" customFormat="1" ht="23.25">
      <c r="A701" s="21" t="s">
        <v>69</v>
      </c>
      <c r="B701" s="2" t="s">
        <v>293</v>
      </c>
      <c r="C701" s="5">
        <f>4.75+(4.75*5/100)</f>
        <v>4.9875</v>
      </c>
      <c r="D701" s="5">
        <v>0.12</v>
      </c>
      <c r="E701" s="7">
        <f>C701+D701</f>
        <v>5.1075</v>
      </c>
    </row>
    <row r="702" spans="1:5" s="27" customFormat="1" ht="23.25">
      <c r="A702" s="21" t="s">
        <v>70</v>
      </c>
      <c r="B702" s="2" t="s">
        <v>71</v>
      </c>
      <c r="C702" s="5"/>
      <c r="D702" s="5"/>
      <c r="E702" s="7"/>
    </row>
    <row r="703" spans="1:5" s="27" customFormat="1" ht="69.75">
      <c r="A703" s="21" t="s">
        <v>72</v>
      </c>
      <c r="B703" s="2" t="s">
        <v>348</v>
      </c>
      <c r="C703" s="5">
        <f>4.75+(4.75*5/100)</f>
        <v>4.9875</v>
      </c>
      <c r="D703" s="5">
        <v>0.12</v>
      </c>
      <c r="E703" s="7">
        <f>C703+D703</f>
        <v>5.1075</v>
      </c>
    </row>
    <row r="704" spans="1:5" s="27" customFormat="1" ht="46.5">
      <c r="A704" s="21" t="s">
        <v>73</v>
      </c>
      <c r="B704" s="2" t="s">
        <v>350</v>
      </c>
      <c r="C704" s="5">
        <f>4.75+(4.75*5/100)</f>
        <v>4.9875</v>
      </c>
      <c r="D704" s="5">
        <v>0.12</v>
      </c>
      <c r="E704" s="7">
        <f>C704+D704</f>
        <v>5.1075</v>
      </c>
    </row>
    <row r="705" spans="1:5" s="27" customFormat="1" ht="23.25">
      <c r="A705" s="21" t="s">
        <v>74</v>
      </c>
      <c r="B705" s="2" t="s">
        <v>293</v>
      </c>
      <c r="C705" s="5">
        <f>4.75+(4.75*5/100)</f>
        <v>4.9875</v>
      </c>
      <c r="D705" s="5">
        <v>0.12</v>
      </c>
      <c r="E705" s="7">
        <f>C705+D705</f>
        <v>5.1075</v>
      </c>
    </row>
    <row r="706" spans="1:5" s="27" customFormat="1" ht="23.25">
      <c r="A706" s="21" t="s">
        <v>75</v>
      </c>
      <c r="B706" s="2" t="s">
        <v>76</v>
      </c>
      <c r="C706" s="5"/>
      <c r="D706" s="5"/>
      <c r="E706" s="7"/>
    </row>
    <row r="707" spans="1:5" s="27" customFormat="1" ht="69.75">
      <c r="A707" s="21" t="s">
        <v>77</v>
      </c>
      <c r="B707" s="2" t="s">
        <v>348</v>
      </c>
      <c r="C707" s="5">
        <f>2.37+(2.37*5/100)</f>
        <v>2.4885</v>
      </c>
      <c r="D707" s="5">
        <v>0.12</v>
      </c>
      <c r="E707" s="7">
        <f>C707+D707</f>
        <v>2.6085000000000003</v>
      </c>
    </row>
    <row r="708" spans="1:5" s="27" customFormat="1" ht="46.5">
      <c r="A708" s="21" t="s">
        <v>78</v>
      </c>
      <c r="B708" s="2" t="s">
        <v>350</v>
      </c>
      <c r="C708" s="5">
        <f>2.37+(2.37*5/100)</f>
        <v>2.4885</v>
      </c>
      <c r="D708" s="5">
        <v>0.12</v>
      </c>
      <c r="E708" s="7">
        <f>C708+D708</f>
        <v>2.6085000000000003</v>
      </c>
    </row>
    <row r="709" spans="1:5" s="27" customFormat="1" ht="23.25">
      <c r="A709" s="21" t="s">
        <v>79</v>
      </c>
      <c r="B709" s="2" t="s">
        <v>293</v>
      </c>
      <c r="C709" s="5">
        <f>2.37+(2.37*5/100)</f>
        <v>2.4885</v>
      </c>
      <c r="D709" s="5">
        <v>0.12</v>
      </c>
      <c r="E709" s="7">
        <f>C709+D709</f>
        <v>2.6085000000000003</v>
      </c>
    </row>
    <row r="710" spans="1:5" s="27" customFormat="1" ht="23.25">
      <c r="A710" s="21" t="s">
        <v>80</v>
      </c>
      <c r="B710" s="2" t="s">
        <v>81</v>
      </c>
      <c r="C710" s="5"/>
      <c r="D710" s="5"/>
      <c r="E710" s="7"/>
    </row>
    <row r="711" spans="1:5" s="27" customFormat="1" ht="69.75">
      <c r="A711" s="21" t="s">
        <v>82</v>
      </c>
      <c r="B711" s="2" t="s">
        <v>348</v>
      </c>
      <c r="C711" s="5">
        <f>2.37+(2.37*5/100)</f>
        <v>2.4885</v>
      </c>
      <c r="D711" s="5">
        <v>0.12</v>
      </c>
      <c r="E711" s="7">
        <f>C711+D711</f>
        <v>2.6085000000000003</v>
      </c>
    </row>
    <row r="712" spans="1:5" s="27" customFormat="1" ht="46.5">
      <c r="A712" s="21" t="s">
        <v>83</v>
      </c>
      <c r="B712" s="2" t="s">
        <v>350</v>
      </c>
      <c r="C712" s="5">
        <f>2.37+(2.37*5/100)</f>
        <v>2.4885</v>
      </c>
      <c r="D712" s="5">
        <v>0.12</v>
      </c>
      <c r="E712" s="7">
        <f>C712+D712</f>
        <v>2.6085000000000003</v>
      </c>
    </row>
    <row r="713" spans="1:5" s="27" customFormat="1" ht="23.25">
      <c r="A713" s="21" t="s">
        <v>84</v>
      </c>
      <c r="B713" s="2" t="s">
        <v>293</v>
      </c>
      <c r="C713" s="5">
        <f>2.37+(2.37*5/100)</f>
        <v>2.4885</v>
      </c>
      <c r="D713" s="5">
        <v>0.12</v>
      </c>
      <c r="E713" s="7">
        <f>C713+D713</f>
        <v>2.6085000000000003</v>
      </c>
    </row>
    <row r="714" spans="1:5" s="27" customFormat="1" ht="23.25">
      <c r="A714" s="21" t="s">
        <v>85</v>
      </c>
      <c r="B714" s="2" t="s">
        <v>86</v>
      </c>
      <c r="C714" s="5"/>
      <c r="D714" s="5"/>
      <c r="E714" s="7"/>
    </row>
    <row r="715" spans="1:5" s="27" customFormat="1" ht="69.75">
      <c r="A715" s="21" t="s">
        <v>87</v>
      </c>
      <c r="B715" s="2" t="s">
        <v>348</v>
      </c>
      <c r="C715" s="5">
        <f>2.37+(2.37*5/100)</f>
        <v>2.4885</v>
      </c>
      <c r="D715" s="5">
        <v>0.12</v>
      </c>
      <c r="E715" s="7">
        <f>C715+D715</f>
        <v>2.6085000000000003</v>
      </c>
    </row>
    <row r="716" spans="1:5" s="27" customFormat="1" ht="46.5">
      <c r="A716" s="21" t="s">
        <v>88</v>
      </c>
      <c r="B716" s="2" t="s">
        <v>350</v>
      </c>
      <c r="C716" s="5">
        <f>2.37+(2.37*5/100)</f>
        <v>2.4885</v>
      </c>
      <c r="D716" s="5">
        <v>0.12</v>
      </c>
      <c r="E716" s="7">
        <f>C716+D716</f>
        <v>2.6085000000000003</v>
      </c>
    </row>
    <row r="717" spans="1:5" s="27" customFormat="1" ht="23.25">
      <c r="A717" s="21" t="s">
        <v>89</v>
      </c>
      <c r="B717" s="2" t="s">
        <v>293</v>
      </c>
      <c r="C717" s="5">
        <f>2.37+(2.37*5/100)</f>
        <v>2.4885</v>
      </c>
      <c r="D717" s="5">
        <v>0.12</v>
      </c>
      <c r="E717" s="7">
        <f>C717+D717</f>
        <v>2.6085000000000003</v>
      </c>
    </row>
    <row r="718" spans="1:5" s="27" customFormat="1" ht="23.25">
      <c r="A718" s="21" t="s">
        <v>135</v>
      </c>
      <c r="B718" s="2" t="s">
        <v>90</v>
      </c>
      <c r="C718" s="5"/>
      <c r="D718" s="5"/>
      <c r="E718" s="5"/>
    </row>
    <row r="719" spans="1:5" s="27" customFormat="1" ht="23.25">
      <c r="A719" s="21" t="s">
        <v>91</v>
      </c>
      <c r="B719" s="2" t="s">
        <v>92</v>
      </c>
      <c r="C719" s="5">
        <f>7.12+(7.12*5/100)</f>
        <v>7.476</v>
      </c>
      <c r="D719" s="5">
        <v>0.15</v>
      </c>
      <c r="E719" s="7">
        <f>C719+D719</f>
        <v>7.626</v>
      </c>
    </row>
    <row r="720" spans="1:5" s="27" customFormat="1" ht="23.25">
      <c r="A720" s="21" t="s">
        <v>93</v>
      </c>
      <c r="B720" s="2" t="s">
        <v>94</v>
      </c>
      <c r="C720" s="5"/>
      <c r="D720" s="5"/>
      <c r="E720" s="7"/>
    </row>
    <row r="721" spans="1:5" s="27" customFormat="1" ht="69.75">
      <c r="A721" s="21" t="s">
        <v>95</v>
      </c>
      <c r="B721" s="2" t="s">
        <v>348</v>
      </c>
      <c r="C721" s="5">
        <f>10.68+(10.68*5/100)</f>
        <v>11.214</v>
      </c>
      <c r="D721" s="5">
        <v>0.15</v>
      </c>
      <c r="E721" s="7">
        <f>C721+D721</f>
        <v>11.364</v>
      </c>
    </row>
    <row r="722" spans="1:5" s="27" customFormat="1" ht="46.5">
      <c r="A722" s="21" t="s">
        <v>322</v>
      </c>
      <c r="B722" s="2" t="s">
        <v>350</v>
      </c>
      <c r="C722" s="5">
        <f>14.24+(14.24*5/100)</f>
        <v>14.952</v>
      </c>
      <c r="D722" s="5">
        <v>0.15</v>
      </c>
      <c r="E722" s="7">
        <f>C722+D722</f>
        <v>15.102</v>
      </c>
    </row>
    <row r="723" spans="1:5" s="27" customFormat="1" ht="23.25">
      <c r="A723" s="21" t="s">
        <v>323</v>
      </c>
      <c r="B723" s="3" t="s">
        <v>325</v>
      </c>
      <c r="C723" s="31">
        <f>4.75+(4.75*5/100)</f>
        <v>4.9875</v>
      </c>
      <c r="D723" s="5">
        <v>0.15</v>
      </c>
      <c r="E723" s="7">
        <f>C723+D723</f>
        <v>5.1375</v>
      </c>
    </row>
    <row r="724" spans="1:5" s="27" customFormat="1" ht="93">
      <c r="A724" s="21" t="s">
        <v>324</v>
      </c>
      <c r="B724" s="2" t="s">
        <v>326</v>
      </c>
      <c r="C724" s="5"/>
      <c r="D724" s="31"/>
      <c r="E724" s="31"/>
    </row>
    <row r="725" spans="1:5" s="27" customFormat="1" ht="69.75">
      <c r="A725" s="21" t="s">
        <v>327</v>
      </c>
      <c r="B725" s="2" t="s">
        <v>348</v>
      </c>
      <c r="C725" s="5">
        <f>9.49+(9.49*5/100)</f>
        <v>9.964500000000001</v>
      </c>
      <c r="D725" s="31">
        <v>0.12</v>
      </c>
      <c r="E725" s="31">
        <f>C725+D725</f>
        <v>10.0845</v>
      </c>
    </row>
    <row r="726" spans="1:5" s="27" customFormat="1" ht="46.5">
      <c r="A726" s="21" t="s">
        <v>328</v>
      </c>
      <c r="B726" s="2" t="s">
        <v>350</v>
      </c>
      <c r="C726" s="5">
        <f>9.49+(9.49*5/100)</f>
        <v>9.964500000000001</v>
      </c>
      <c r="D726" s="31">
        <v>0.12</v>
      </c>
      <c r="E726" s="31">
        <f>C726+D726</f>
        <v>10.0845</v>
      </c>
    </row>
    <row r="727" spans="1:5" s="27" customFormat="1" ht="93">
      <c r="A727" s="21" t="s">
        <v>324</v>
      </c>
      <c r="B727" s="2" t="s">
        <v>329</v>
      </c>
      <c r="C727" s="5"/>
      <c r="D727" s="31"/>
      <c r="E727" s="31"/>
    </row>
    <row r="728" spans="1:5" s="27" customFormat="1" ht="69.75">
      <c r="A728" s="21" t="s">
        <v>327</v>
      </c>
      <c r="B728" s="2" t="s">
        <v>348</v>
      </c>
      <c r="C728" s="5">
        <f>9.49+(9.49*5/100)</f>
        <v>9.964500000000001</v>
      </c>
      <c r="D728" s="31">
        <v>0.3</v>
      </c>
      <c r="E728" s="31">
        <f>C728+D728</f>
        <v>10.264500000000002</v>
      </c>
    </row>
    <row r="729" spans="1:5" s="27" customFormat="1" ht="46.5">
      <c r="A729" s="21" t="s">
        <v>328</v>
      </c>
      <c r="B729" s="2" t="s">
        <v>350</v>
      </c>
      <c r="C729" s="5">
        <f>9.49+(9.49*5/100)</f>
        <v>9.964500000000001</v>
      </c>
      <c r="D729" s="31">
        <v>0.3</v>
      </c>
      <c r="E729" s="31">
        <f>C729+D729</f>
        <v>10.264500000000002</v>
      </c>
    </row>
    <row r="730" spans="1:5" s="27" customFormat="1" ht="93">
      <c r="A730" s="21" t="s">
        <v>324</v>
      </c>
      <c r="B730" s="2" t="s">
        <v>4</v>
      </c>
      <c r="C730" s="5"/>
      <c r="D730" s="31"/>
      <c r="E730" s="31"/>
    </row>
    <row r="731" spans="1:5" s="27" customFormat="1" ht="69.75">
      <c r="A731" s="21" t="s">
        <v>327</v>
      </c>
      <c r="B731" s="2" t="s">
        <v>348</v>
      </c>
      <c r="C731" s="5">
        <f>9.49+(9.49*5/100)</f>
        <v>9.964500000000001</v>
      </c>
      <c r="D731" s="31">
        <v>0.3</v>
      </c>
      <c r="E731" s="31">
        <f>C731+D731</f>
        <v>10.264500000000002</v>
      </c>
    </row>
    <row r="732" spans="1:5" s="24" customFormat="1" ht="46.5">
      <c r="A732" s="21" t="s">
        <v>328</v>
      </c>
      <c r="B732" s="2" t="s">
        <v>350</v>
      </c>
      <c r="C732" s="5">
        <f>9.49+(9.49*5/100)</f>
        <v>9.964500000000001</v>
      </c>
      <c r="D732" s="31">
        <v>0.3</v>
      </c>
      <c r="E732" s="31">
        <f>C732+D732</f>
        <v>10.264500000000002</v>
      </c>
    </row>
    <row r="733" spans="1:5" s="27" customFormat="1" ht="26.25">
      <c r="A733" s="49" t="s">
        <v>5</v>
      </c>
      <c r="B733" s="49"/>
      <c r="C733" s="49"/>
      <c r="D733" s="49"/>
      <c r="E733" s="49"/>
    </row>
    <row r="734" spans="1:5" s="27" customFormat="1" ht="23.25">
      <c r="A734" s="21" t="s">
        <v>7</v>
      </c>
      <c r="B734" s="2" t="s">
        <v>9</v>
      </c>
      <c r="C734" s="5"/>
      <c r="D734" s="6"/>
      <c r="E734" s="5"/>
    </row>
    <row r="735" spans="1:5" s="27" customFormat="1" ht="23.25">
      <c r="A735" s="21" t="s">
        <v>10</v>
      </c>
      <c r="B735" s="2" t="s">
        <v>8</v>
      </c>
      <c r="C735" s="5"/>
      <c r="D735" s="6"/>
      <c r="E735" s="5"/>
    </row>
    <row r="736" spans="1:5" s="27" customFormat="1" ht="46.5">
      <c r="A736" s="21" t="s">
        <v>11</v>
      </c>
      <c r="B736" s="2" t="s">
        <v>12</v>
      </c>
      <c r="C736" s="5">
        <f>2.25+(2.25*5/100)</f>
        <v>2.3625</v>
      </c>
      <c r="D736" s="5" t="s">
        <v>104</v>
      </c>
      <c r="E736" s="5">
        <f>C736</f>
        <v>2.3625</v>
      </c>
    </row>
    <row r="737" spans="1:5" s="27" customFormat="1" ht="46.5">
      <c r="A737" s="21" t="s">
        <v>13</v>
      </c>
      <c r="B737" s="2" t="s">
        <v>14</v>
      </c>
      <c r="C737" s="5">
        <f>3.72+(3.72*5/100)</f>
        <v>3.906</v>
      </c>
      <c r="D737" s="5" t="s">
        <v>104</v>
      </c>
      <c r="E737" s="5">
        <f>C737</f>
        <v>3.906</v>
      </c>
    </row>
    <row r="738" spans="1:5" s="27" customFormat="1" ht="23.25">
      <c r="A738" s="21" t="s">
        <v>15</v>
      </c>
      <c r="B738" s="2" t="s">
        <v>16</v>
      </c>
      <c r="C738" s="5">
        <f>1.78+(1.78*5/100)</f>
        <v>1.869</v>
      </c>
      <c r="D738" s="5" t="s">
        <v>104</v>
      </c>
      <c r="E738" s="5">
        <f>C738</f>
        <v>1.869</v>
      </c>
    </row>
    <row r="739" spans="1:5" s="27" customFormat="1" ht="74.25" customHeight="1">
      <c r="A739" s="21" t="s">
        <v>17</v>
      </c>
      <c r="B739" s="2" t="s">
        <v>18</v>
      </c>
      <c r="C739" s="5"/>
      <c r="D739" s="5"/>
      <c r="E739" s="5"/>
    </row>
    <row r="740" spans="1:5" s="27" customFormat="1" ht="74.25" customHeight="1">
      <c r="A740" s="21" t="s">
        <v>111</v>
      </c>
      <c r="B740" s="2" t="s">
        <v>18</v>
      </c>
      <c r="C740" s="5">
        <f>31.94+(31.94*5/100)</f>
        <v>33.537</v>
      </c>
      <c r="D740" s="5" t="s">
        <v>104</v>
      </c>
      <c r="E740" s="5">
        <f>C740</f>
        <v>33.537</v>
      </c>
    </row>
    <row r="741" spans="1:5" s="27" customFormat="1" ht="23.25">
      <c r="A741" s="21" t="s">
        <v>453</v>
      </c>
      <c r="B741" s="2" t="s">
        <v>454</v>
      </c>
      <c r="C741" s="5">
        <f>11.6+(11.6*5/100)</f>
        <v>12.18</v>
      </c>
      <c r="D741" s="5">
        <v>0.12</v>
      </c>
      <c r="E741" s="5">
        <f>C741+D741</f>
        <v>12.299999999999999</v>
      </c>
    </row>
    <row r="742" spans="1:5" s="27" customFormat="1" ht="46.5">
      <c r="A742" s="21" t="s">
        <v>112</v>
      </c>
      <c r="B742" s="2" t="s">
        <v>219</v>
      </c>
      <c r="C742" s="5"/>
      <c r="D742" s="6"/>
      <c r="E742" s="5"/>
    </row>
    <row r="743" spans="1:5" s="27" customFormat="1" ht="23.25">
      <c r="A743" s="21" t="s">
        <v>220</v>
      </c>
      <c r="B743" s="2" t="s">
        <v>221</v>
      </c>
      <c r="C743" s="5">
        <f>2.52+(2.52*5/100)</f>
        <v>2.646</v>
      </c>
      <c r="D743" s="5" t="s">
        <v>104</v>
      </c>
      <c r="E743" s="5">
        <f>C743</f>
        <v>2.646</v>
      </c>
    </row>
    <row r="744" spans="1:5" s="27" customFormat="1" ht="23.25">
      <c r="A744" s="21" t="s">
        <v>222</v>
      </c>
      <c r="B744" s="2" t="s">
        <v>223</v>
      </c>
      <c r="C744" s="5"/>
      <c r="D744" s="5"/>
      <c r="E744" s="5"/>
    </row>
    <row r="745" spans="1:5" s="27" customFormat="1" ht="46.5">
      <c r="A745" s="21" t="s">
        <v>224</v>
      </c>
      <c r="B745" s="2" t="s">
        <v>315</v>
      </c>
      <c r="C745" s="5">
        <f>1.89+(1.89*5/100)</f>
        <v>1.9845</v>
      </c>
      <c r="D745" s="5" t="s">
        <v>104</v>
      </c>
      <c r="E745" s="5">
        <f>C745</f>
        <v>1.9845</v>
      </c>
    </row>
    <row r="746" spans="1:5" s="27" customFormat="1" ht="46.5">
      <c r="A746" s="21" t="s">
        <v>316</v>
      </c>
      <c r="B746" s="2" t="s">
        <v>237</v>
      </c>
      <c r="C746" s="5">
        <f>0.31+(0.31*5/100)</f>
        <v>0.3255</v>
      </c>
      <c r="D746" s="5" t="s">
        <v>104</v>
      </c>
      <c r="E746" s="5">
        <f>C746</f>
        <v>0.3255</v>
      </c>
    </row>
    <row r="747" spans="1:5" s="27" customFormat="1" ht="23.25">
      <c r="A747" s="21" t="s">
        <v>238</v>
      </c>
      <c r="B747" s="2" t="s">
        <v>239</v>
      </c>
      <c r="C747" s="5"/>
      <c r="D747" s="5"/>
      <c r="E747" s="5"/>
    </row>
    <row r="748" spans="1:5" s="27" customFormat="1" ht="46.5">
      <c r="A748" s="21" t="s">
        <v>240</v>
      </c>
      <c r="B748" s="2" t="s">
        <v>241</v>
      </c>
      <c r="C748" s="5">
        <f>2.26+(2.26*5/100)</f>
        <v>2.3729999999999998</v>
      </c>
      <c r="D748" s="5" t="s">
        <v>104</v>
      </c>
      <c r="E748" s="5">
        <f>C748</f>
        <v>2.3729999999999998</v>
      </c>
    </row>
    <row r="749" spans="1:5" s="27" customFormat="1" ht="46.5">
      <c r="A749" s="21" t="s">
        <v>242</v>
      </c>
      <c r="B749" s="2" t="s">
        <v>243</v>
      </c>
      <c r="C749" s="5">
        <f>0.45+(0.45*5/100)</f>
        <v>0.47250000000000003</v>
      </c>
      <c r="D749" s="5" t="s">
        <v>104</v>
      </c>
      <c r="E749" s="5">
        <f>C749</f>
        <v>0.47250000000000003</v>
      </c>
    </row>
    <row r="750" spans="1:5" s="27" customFormat="1" ht="46.5">
      <c r="A750" s="21" t="s">
        <v>244</v>
      </c>
      <c r="B750" s="2" t="s">
        <v>245</v>
      </c>
      <c r="C750" s="5"/>
      <c r="D750" s="5"/>
      <c r="E750" s="5"/>
    </row>
    <row r="751" spans="1:5" s="27" customFormat="1" ht="46.5">
      <c r="A751" s="21" t="s">
        <v>246</v>
      </c>
      <c r="B751" s="2" t="s">
        <v>247</v>
      </c>
      <c r="C751" s="5">
        <f>2.83+(2.83*5/100)</f>
        <v>2.9715000000000003</v>
      </c>
      <c r="D751" s="5" t="s">
        <v>104</v>
      </c>
      <c r="E751" s="5">
        <f>C751</f>
        <v>2.9715000000000003</v>
      </c>
    </row>
    <row r="752" spans="1:5" s="27" customFormat="1" ht="46.5">
      <c r="A752" s="21" t="s">
        <v>248</v>
      </c>
      <c r="B752" s="2" t="s">
        <v>249</v>
      </c>
      <c r="C752" s="5">
        <f>2.72+(2.72*5/100)</f>
        <v>2.8560000000000003</v>
      </c>
      <c r="D752" s="5" t="s">
        <v>104</v>
      </c>
      <c r="E752" s="5">
        <f>C752</f>
        <v>2.8560000000000003</v>
      </c>
    </row>
    <row r="753" spans="1:5" s="27" customFormat="1" ht="23.25">
      <c r="A753" s="21" t="s">
        <v>250</v>
      </c>
      <c r="B753" s="2" t="s">
        <v>251</v>
      </c>
      <c r="C753" s="5">
        <f>0.79+(0.79*5/100)</f>
        <v>0.8295</v>
      </c>
      <c r="D753" s="5" t="s">
        <v>104</v>
      </c>
      <c r="E753" s="5">
        <f>C753</f>
        <v>0.8295</v>
      </c>
    </row>
    <row r="754" spans="1:5" s="27" customFormat="1" ht="23.25">
      <c r="A754" s="21" t="s">
        <v>252</v>
      </c>
      <c r="B754" s="2" t="s">
        <v>253</v>
      </c>
      <c r="C754" s="5">
        <f>1.65+(1.65*5/100)</f>
        <v>1.7325</v>
      </c>
      <c r="D754" s="5" t="s">
        <v>104</v>
      </c>
      <c r="E754" s="5">
        <f>C754</f>
        <v>1.7325</v>
      </c>
    </row>
    <row r="755" spans="1:5" s="27" customFormat="1" ht="23.25">
      <c r="A755" s="21" t="s">
        <v>254</v>
      </c>
      <c r="B755" s="2" t="s">
        <v>255</v>
      </c>
      <c r="C755" s="5"/>
      <c r="D755" s="5"/>
      <c r="E755" s="5"/>
    </row>
    <row r="756" spans="1:5" s="27" customFormat="1" ht="23.25">
      <c r="A756" s="21" t="s">
        <v>256</v>
      </c>
      <c r="B756" s="2" t="s">
        <v>257</v>
      </c>
      <c r="C756" s="5">
        <f>5.35+(5.35*5/100)</f>
        <v>5.6175</v>
      </c>
      <c r="D756" s="5" t="s">
        <v>104</v>
      </c>
      <c r="E756" s="5">
        <f>C756</f>
        <v>5.6175</v>
      </c>
    </row>
    <row r="757" spans="1:5" s="24" customFormat="1" ht="26.25">
      <c r="A757" s="21" t="s">
        <v>258</v>
      </c>
      <c r="B757" s="2" t="s">
        <v>259</v>
      </c>
      <c r="C757" s="5">
        <f>7.64+(7.64*5/100)</f>
        <v>8.022</v>
      </c>
      <c r="D757" s="5" t="s">
        <v>104</v>
      </c>
      <c r="E757" s="5">
        <f>C757</f>
        <v>8.022</v>
      </c>
    </row>
    <row r="758" spans="1:5" s="24" customFormat="1" ht="69.75">
      <c r="A758" s="21" t="s">
        <v>869</v>
      </c>
      <c r="B758" s="2" t="s">
        <v>1198</v>
      </c>
      <c r="C758" s="5"/>
      <c r="D758" s="5"/>
      <c r="E758" s="5"/>
    </row>
    <row r="759" spans="1:5" s="24" customFormat="1" ht="69.75">
      <c r="A759" s="21" t="s">
        <v>1196</v>
      </c>
      <c r="B759" s="2" t="s">
        <v>1199</v>
      </c>
      <c r="C759" s="5">
        <f>17.53+(17.53*5/100)</f>
        <v>18.4065</v>
      </c>
      <c r="D759" s="5" t="s">
        <v>104</v>
      </c>
      <c r="E759" s="5">
        <f>C759</f>
        <v>18.4065</v>
      </c>
    </row>
    <row r="760" spans="1:5" s="24" customFormat="1" ht="93">
      <c r="A760" s="21" t="s">
        <v>1196</v>
      </c>
      <c r="B760" s="2" t="s">
        <v>1200</v>
      </c>
      <c r="C760" s="5">
        <f>17.53+(17.53*5/100)</f>
        <v>18.4065</v>
      </c>
      <c r="D760" s="5" t="s">
        <v>104</v>
      </c>
      <c r="E760" s="5">
        <f>C760</f>
        <v>18.4065</v>
      </c>
    </row>
    <row r="761" spans="1:5" s="27" customFormat="1" ht="26.25">
      <c r="A761" s="49" t="s">
        <v>261</v>
      </c>
      <c r="B761" s="49"/>
      <c r="C761" s="49"/>
      <c r="D761" s="49"/>
      <c r="E761" s="49"/>
    </row>
    <row r="762" spans="1:5" s="32" customFormat="1" ht="23.25">
      <c r="A762" s="21" t="s">
        <v>260</v>
      </c>
      <c r="B762" s="2" t="s">
        <v>262</v>
      </c>
      <c r="C762" s="5"/>
      <c r="D762" s="6"/>
      <c r="E762" s="5"/>
    </row>
    <row r="763" spans="1:5" s="32" customFormat="1" ht="23.25">
      <c r="A763" s="21" t="s">
        <v>263</v>
      </c>
      <c r="B763" s="2" t="s">
        <v>877</v>
      </c>
      <c r="C763" s="5">
        <f>7.95+(7.95*5/100)</f>
        <v>8.3475</v>
      </c>
      <c r="D763" s="5">
        <v>0.68</v>
      </c>
      <c r="E763" s="5">
        <f>C763+D763</f>
        <v>9.0275</v>
      </c>
    </row>
    <row r="764" spans="1:5" s="32" customFormat="1" ht="23.25">
      <c r="A764" s="21" t="s">
        <v>878</v>
      </c>
      <c r="B764" s="2" t="s">
        <v>879</v>
      </c>
      <c r="C764" s="5">
        <f>8.42+(8.42*5/100)</f>
        <v>8.841</v>
      </c>
      <c r="D764" s="5">
        <v>0.68</v>
      </c>
      <c r="E764" s="5">
        <f aca="true" t="shared" si="26" ref="E764:E769">C764+D764</f>
        <v>9.520999999999999</v>
      </c>
    </row>
    <row r="765" spans="1:5" s="27" customFormat="1" ht="23.25">
      <c r="A765" s="21" t="s">
        <v>880</v>
      </c>
      <c r="B765" s="2" t="s">
        <v>881</v>
      </c>
      <c r="C765" s="5">
        <f>14.58+(14.58*5/100)</f>
        <v>15.309000000000001</v>
      </c>
      <c r="D765" s="5">
        <v>0.68</v>
      </c>
      <c r="E765" s="5">
        <f t="shared" si="26"/>
        <v>15.989</v>
      </c>
    </row>
    <row r="766" spans="1:5" s="27" customFormat="1" ht="23.25">
      <c r="A766" s="21" t="s">
        <v>882</v>
      </c>
      <c r="B766" s="2" t="s">
        <v>150</v>
      </c>
      <c r="C766" s="5">
        <f>16.81+(16.81*5/100)</f>
        <v>17.650499999999997</v>
      </c>
      <c r="D766" s="5">
        <v>0.42</v>
      </c>
      <c r="E766" s="5">
        <f t="shared" si="26"/>
        <v>18.0705</v>
      </c>
    </row>
    <row r="767" spans="1:5" s="27" customFormat="1" ht="23.25">
      <c r="A767" s="21" t="s">
        <v>151</v>
      </c>
      <c r="B767" s="2" t="s">
        <v>152</v>
      </c>
      <c r="C767" s="5">
        <f>9.68+(9.68*5/100)</f>
        <v>10.164</v>
      </c>
      <c r="D767" s="5">
        <v>0.71</v>
      </c>
      <c r="E767" s="5">
        <f t="shared" si="26"/>
        <v>10.873999999999999</v>
      </c>
    </row>
    <row r="768" spans="1:5" s="27" customFormat="1" ht="23.25">
      <c r="A768" s="21" t="s">
        <v>153</v>
      </c>
      <c r="B768" s="2" t="s">
        <v>154</v>
      </c>
      <c r="C768" s="5">
        <f>17.83+(17.83*5/100)</f>
        <v>18.7215</v>
      </c>
      <c r="D768" s="5">
        <v>0.71</v>
      </c>
      <c r="E768" s="5">
        <f t="shared" si="26"/>
        <v>19.4315</v>
      </c>
    </row>
    <row r="769" spans="1:5" s="27" customFormat="1" ht="23.25">
      <c r="A769" s="21" t="s">
        <v>155</v>
      </c>
      <c r="B769" s="2" t="s">
        <v>156</v>
      </c>
      <c r="C769" s="5">
        <f>28.7+(28.7*5/100)</f>
        <v>30.134999999999998</v>
      </c>
      <c r="D769" s="5">
        <v>0.71</v>
      </c>
      <c r="E769" s="5">
        <f t="shared" si="26"/>
        <v>30.845</v>
      </c>
    </row>
    <row r="770" spans="1:5" s="27" customFormat="1" ht="23.25">
      <c r="A770" s="21" t="s">
        <v>158</v>
      </c>
      <c r="B770" s="2" t="s">
        <v>168</v>
      </c>
      <c r="C770" s="5"/>
      <c r="D770" s="6"/>
      <c r="E770" s="5"/>
    </row>
    <row r="771" spans="1:5" s="27" customFormat="1" ht="46.5">
      <c r="A771" s="21" t="s">
        <v>166</v>
      </c>
      <c r="B771" s="2" t="s">
        <v>169</v>
      </c>
      <c r="C771" s="5">
        <f>2.29+(2.29*5/100)</f>
        <v>2.4045</v>
      </c>
      <c r="D771" s="5" t="s">
        <v>104</v>
      </c>
      <c r="E771" s="5">
        <f>C771</f>
        <v>2.4045</v>
      </c>
    </row>
    <row r="772" spans="1:5" s="27" customFormat="1" ht="23.25">
      <c r="A772" s="21" t="s">
        <v>167</v>
      </c>
      <c r="B772" s="2" t="s">
        <v>170</v>
      </c>
      <c r="C772" s="5">
        <f>1.71+(1.71*5/100)</f>
        <v>1.7954999999999999</v>
      </c>
      <c r="D772" s="5" t="s">
        <v>104</v>
      </c>
      <c r="E772" s="5">
        <f>C772</f>
        <v>1.7954999999999999</v>
      </c>
    </row>
    <row r="773" spans="1:5" s="27" customFormat="1" ht="23.25">
      <c r="A773" s="21" t="s">
        <v>157</v>
      </c>
      <c r="B773" s="2" t="s">
        <v>171</v>
      </c>
      <c r="C773" s="5">
        <f>5.94+(5.94*5/100)</f>
        <v>6.237</v>
      </c>
      <c r="D773" s="7">
        <v>5.2</v>
      </c>
      <c r="E773" s="7">
        <f>C773+D773</f>
        <v>11.437000000000001</v>
      </c>
    </row>
    <row r="774" spans="1:5" s="27" customFormat="1" ht="23.25">
      <c r="A774" s="21" t="s">
        <v>1017</v>
      </c>
      <c r="B774" s="2" t="s">
        <v>1018</v>
      </c>
      <c r="C774" s="5">
        <f>8.93+(8.93*5/100)</f>
        <v>9.3765</v>
      </c>
      <c r="D774" s="5">
        <v>13.07</v>
      </c>
      <c r="E774" s="5">
        <f>C774+D774</f>
        <v>22.4465</v>
      </c>
    </row>
    <row r="775" spans="1:5" s="24" customFormat="1" ht="26.25">
      <c r="A775" s="21"/>
      <c r="B775" s="2" t="s">
        <v>376</v>
      </c>
      <c r="C775" s="5">
        <f>4.75+(4.75*5/100)</f>
        <v>4.9875</v>
      </c>
      <c r="D775" s="5">
        <v>2.57</v>
      </c>
      <c r="E775" s="5">
        <f>C775+D775</f>
        <v>7.557499999999999</v>
      </c>
    </row>
    <row r="776" spans="1:5" s="24" customFormat="1" ht="26.25">
      <c r="A776" s="45" t="s">
        <v>715</v>
      </c>
      <c r="B776" s="45"/>
      <c r="C776" s="45"/>
      <c r="D776" s="45"/>
      <c r="E776" s="45"/>
    </row>
    <row r="777" spans="1:5" s="24" customFormat="1" ht="46.5">
      <c r="A777" s="21" t="s">
        <v>202</v>
      </c>
      <c r="B777" s="2" t="s">
        <v>716</v>
      </c>
      <c r="C777" s="5">
        <f>14.31+(14.31*5/100)</f>
        <v>15.025500000000001</v>
      </c>
      <c r="D777" s="5" t="s">
        <v>104</v>
      </c>
      <c r="E777" s="5">
        <f>C777</f>
        <v>15.025500000000001</v>
      </c>
    </row>
    <row r="778" spans="1:5" s="24" customFormat="1" ht="46.5">
      <c r="A778" s="21" t="s">
        <v>557</v>
      </c>
      <c r="B778" s="2" t="s">
        <v>718</v>
      </c>
      <c r="C778" s="5">
        <f>24.95+(24.95*5/100)</f>
        <v>26.197499999999998</v>
      </c>
      <c r="D778" s="5" t="s">
        <v>104</v>
      </c>
      <c r="E778" s="5">
        <f>C778</f>
        <v>26.197499999999998</v>
      </c>
    </row>
    <row r="779" spans="1:5" s="27" customFormat="1" ht="26.25">
      <c r="A779" s="51" t="s">
        <v>1188</v>
      </c>
      <c r="B779" s="51"/>
      <c r="C779" s="51"/>
      <c r="D779" s="51"/>
      <c r="E779" s="51"/>
    </row>
    <row r="780" spans="1:5" s="27" customFormat="1" ht="23.25">
      <c r="A780" s="21">
        <v>1</v>
      </c>
      <c r="B780" s="2" t="s">
        <v>172</v>
      </c>
      <c r="C780" s="5">
        <f>0.48+(0.48*5/100)</f>
        <v>0.504</v>
      </c>
      <c r="D780" s="5">
        <v>0.03</v>
      </c>
      <c r="E780" s="5">
        <f>C780+D780</f>
        <v>0.534</v>
      </c>
    </row>
    <row r="781" spans="1:5" s="27" customFormat="1" ht="23.25">
      <c r="A781" s="21">
        <v>2</v>
      </c>
      <c r="B781" s="2" t="s">
        <v>173</v>
      </c>
      <c r="C781" s="5">
        <f>0.63+(0.63*5/100)</f>
        <v>0.6615</v>
      </c>
      <c r="D781" s="5">
        <v>0.01</v>
      </c>
      <c r="E781" s="5">
        <f aca="true" t="shared" si="27" ref="E781:E825">C781+D781</f>
        <v>0.6715</v>
      </c>
    </row>
    <row r="782" spans="1:5" s="27" customFormat="1" ht="46.5">
      <c r="A782" s="21">
        <v>3</v>
      </c>
      <c r="B782" s="2" t="s">
        <v>174</v>
      </c>
      <c r="C782" s="5">
        <f>0.81+(0.81*5/100)</f>
        <v>0.8505</v>
      </c>
      <c r="D782" s="5">
        <v>0.19</v>
      </c>
      <c r="E782" s="5">
        <f t="shared" si="27"/>
        <v>1.0405</v>
      </c>
    </row>
    <row r="783" spans="1:5" s="27" customFormat="1" ht="46.5">
      <c r="A783" s="21">
        <v>4</v>
      </c>
      <c r="B783" s="2" t="s">
        <v>176</v>
      </c>
      <c r="C783" s="5">
        <f>0.81+(0.81*5/100)</f>
        <v>0.8505</v>
      </c>
      <c r="D783" s="5">
        <v>1.29</v>
      </c>
      <c r="E783" s="5">
        <f t="shared" si="27"/>
        <v>2.1405000000000003</v>
      </c>
    </row>
    <row r="784" spans="1:5" s="27" customFormat="1" ht="69.75">
      <c r="A784" s="21">
        <v>5</v>
      </c>
      <c r="B784" s="2" t="s">
        <v>178</v>
      </c>
      <c r="C784" s="5">
        <f>0.71+(0.71*5/100)</f>
        <v>0.7454999999999999</v>
      </c>
      <c r="D784" s="5">
        <v>0.91</v>
      </c>
      <c r="E784" s="5">
        <f t="shared" si="27"/>
        <v>1.6555</v>
      </c>
    </row>
    <row r="785" spans="1:5" s="27" customFormat="1" ht="23.25">
      <c r="A785" s="21">
        <v>6</v>
      </c>
      <c r="B785" s="2" t="s">
        <v>180</v>
      </c>
      <c r="C785" s="5">
        <f>0.6+(0.6*5/100)</f>
        <v>0.63</v>
      </c>
      <c r="D785" s="5">
        <v>0.19</v>
      </c>
      <c r="E785" s="5">
        <f t="shared" si="27"/>
        <v>0.8200000000000001</v>
      </c>
    </row>
    <row r="786" spans="1:5" s="27" customFormat="1" ht="23.25">
      <c r="A786" s="21">
        <v>7</v>
      </c>
      <c r="B786" s="2" t="s">
        <v>182</v>
      </c>
      <c r="C786" s="5">
        <f>1.03+(1.03*5/100)</f>
        <v>1.0815000000000001</v>
      </c>
      <c r="D786" s="5">
        <v>0.38</v>
      </c>
      <c r="E786" s="5">
        <f t="shared" si="27"/>
        <v>1.4615</v>
      </c>
    </row>
    <row r="787" spans="1:5" s="27" customFormat="1" ht="23.25">
      <c r="A787" s="21">
        <v>8</v>
      </c>
      <c r="B787" s="2" t="s">
        <v>184</v>
      </c>
      <c r="C787" s="5">
        <f>0.64+(0.64*5/100)</f>
        <v>0.672</v>
      </c>
      <c r="D787" s="5">
        <v>0.38</v>
      </c>
      <c r="E787" s="5">
        <f t="shared" si="27"/>
        <v>1.052</v>
      </c>
    </row>
    <row r="788" spans="1:5" s="27" customFormat="1" ht="23.25">
      <c r="A788" s="21">
        <v>9</v>
      </c>
      <c r="B788" s="2" t="s">
        <v>186</v>
      </c>
      <c r="C788" s="5">
        <f>0.26+(0.26*5/100)</f>
        <v>0.273</v>
      </c>
      <c r="D788" s="5">
        <v>0.68</v>
      </c>
      <c r="E788" s="5">
        <f t="shared" si="27"/>
        <v>0.9530000000000001</v>
      </c>
    </row>
    <row r="789" spans="1:5" s="27" customFormat="1" ht="46.5">
      <c r="A789" s="21">
        <v>10</v>
      </c>
      <c r="B789" s="2" t="s">
        <v>33</v>
      </c>
      <c r="C789" s="5">
        <f>0.69+(0.69*5/100)</f>
        <v>0.7244999999999999</v>
      </c>
      <c r="D789" s="5">
        <v>0.19</v>
      </c>
      <c r="E789" s="5">
        <f t="shared" si="27"/>
        <v>0.9144999999999999</v>
      </c>
    </row>
    <row r="790" spans="1:5" s="27" customFormat="1" ht="69.75">
      <c r="A790" s="21">
        <v>11</v>
      </c>
      <c r="B790" s="2" t="s">
        <v>35</v>
      </c>
      <c r="C790" s="5">
        <f>1.58+(1.58*5/100)</f>
        <v>1.659</v>
      </c>
      <c r="D790" s="5">
        <v>1.96</v>
      </c>
      <c r="E790" s="5">
        <f t="shared" si="27"/>
        <v>3.6189999999999998</v>
      </c>
    </row>
    <row r="791" spans="1:5" s="27" customFormat="1" ht="46.5">
      <c r="A791" s="21">
        <v>12</v>
      </c>
      <c r="B791" s="2" t="s">
        <v>519</v>
      </c>
      <c r="C791" s="5">
        <f>0.84+(0.84*5/100)</f>
        <v>0.882</v>
      </c>
      <c r="D791" s="5">
        <v>10.29</v>
      </c>
      <c r="E791" s="5">
        <f t="shared" si="27"/>
        <v>11.171999999999999</v>
      </c>
    </row>
    <row r="792" spans="1:5" s="27" customFormat="1" ht="46.5">
      <c r="A792" s="21">
        <v>13</v>
      </c>
      <c r="B792" s="2" t="s">
        <v>520</v>
      </c>
      <c r="C792" s="5">
        <f>0.84+(0.84*5/100)</f>
        <v>0.882</v>
      </c>
      <c r="D792" s="5">
        <v>9.8</v>
      </c>
      <c r="E792" s="5">
        <f>C792+D792</f>
        <v>10.682</v>
      </c>
    </row>
    <row r="793" spans="1:5" s="27" customFormat="1" ht="23.25">
      <c r="A793" s="21">
        <v>14</v>
      </c>
      <c r="B793" s="2" t="s">
        <v>40</v>
      </c>
      <c r="C793" s="5">
        <f>0.34+(0.34*5/100)</f>
        <v>0.35700000000000004</v>
      </c>
      <c r="D793" s="5">
        <v>0.02</v>
      </c>
      <c r="E793" s="5">
        <f t="shared" si="27"/>
        <v>0.37700000000000006</v>
      </c>
    </row>
    <row r="794" spans="1:5" s="27" customFormat="1" ht="69.75">
      <c r="A794" s="21">
        <v>15</v>
      </c>
      <c r="B794" s="13" t="s">
        <v>777</v>
      </c>
      <c r="C794" s="5">
        <f>0.82+0.46+(1.28*5/100)</f>
        <v>1.344</v>
      </c>
      <c r="D794" s="5">
        <v>0.55</v>
      </c>
      <c r="E794" s="5">
        <f>C794+D794</f>
        <v>1.8940000000000001</v>
      </c>
    </row>
    <row r="795" spans="1:5" s="27" customFormat="1" ht="69.75">
      <c r="A795" s="21">
        <v>16</v>
      </c>
      <c r="B795" s="2" t="s">
        <v>778</v>
      </c>
      <c r="C795" s="5">
        <f>2.22+0.46+(2.68*5/100)</f>
        <v>2.814</v>
      </c>
      <c r="D795" s="5">
        <v>0.55</v>
      </c>
      <c r="E795" s="5">
        <f>C795+D795</f>
        <v>3.364</v>
      </c>
    </row>
    <row r="796" spans="1:5" s="27" customFormat="1" ht="93">
      <c r="A796" s="21">
        <v>17</v>
      </c>
      <c r="B796" s="2" t="s">
        <v>779</v>
      </c>
      <c r="C796" s="5">
        <f>2.99+0.46+(3.45*5/100)</f>
        <v>3.6225</v>
      </c>
      <c r="D796" s="5">
        <v>0.55</v>
      </c>
      <c r="E796" s="5">
        <f>C796+D796</f>
        <v>4.1725</v>
      </c>
    </row>
    <row r="797" spans="1:5" s="27" customFormat="1" ht="23.25">
      <c r="A797" s="21">
        <v>18</v>
      </c>
      <c r="B797" s="2" t="s">
        <v>42</v>
      </c>
      <c r="C797" s="5">
        <f>0.56+(0.56*5/100)</f>
        <v>0.5880000000000001</v>
      </c>
      <c r="D797" s="5">
        <v>0.01</v>
      </c>
      <c r="E797" s="5">
        <f t="shared" si="27"/>
        <v>0.5980000000000001</v>
      </c>
    </row>
    <row r="798" spans="1:5" s="27" customFormat="1" ht="46.5">
      <c r="A798" s="21">
        <v>19</v>
      </c>
      <c r="B798" s="2" t="s">
        <v>44</v>
      </c>
      <c r="C798" s="5">
        <f>0.56+(0.56*5/100)</f>
        <v>0.5880000000000001</v>
      </c>
      <c r="D798" s="5">
        <v>0.02</v>
      </c>
      <c r="E798" s="5">
        <f t="shared" si="27"/>
        <v>0.6080000000000001</v>
      </c>
    </row>
    <row r="799" spans="1:5" s="27" customFormat="1" ht="23.25">
      <c r="A799" s="21">
        <v>20</v>
      </c>
      <c r="B799" s="2" t="s">
        <v>46</v>
      </c>
      <c r="C799" s="5">
        <f>0.88+(0.88*5/100)</f>
        <v>0.924</v>
      </c>
      <c r="D799" s="5">
        <v>0.33</v>
      </c>
      <c r="E799" s="5">
        <f t="shared" si="27"/>
        <v>1.254</v>
      </c>
    </row>
    <row r="800" spans="1:5" s="27" customFormat="1" ht="23.25">
      <c r="A800" s="21">
        <v>21</v>
      </c>
      <c r="B800" s="2" t="s">
        <v>1096</v>
      </c>
      <c r="C800" s="5">
        <f>0.88+(0.88*5/100)</f>
        <v>0.924</v>
      </c>
      <c r="D800" s="5">
        <v>0.2</v>
      </c>
      <c r="E800" s="5">
        <f t="shared" si="27"/>
        <v>1.124</v>
      </c>
    </row>
    <row r="801" spans="1:5" s="27" customFormat="1" ht="23.25">
      <c r="A801" s="21">
        <v>22</v>
      </c>
      <c r="B801" s="2" t="s">
        <v>1098</v>
      </c>
      <c r="C801" s="5">
        <f>0.88+(0.88*5/100)</f>
        <v>0.924</v>
      </c>
      <c r="D801" s="5">
        <v>0.4</v>
      </c>
      <c r="E801" s="5">
        <f t="shared" si="27"/>
        <v>1.324</v>
      </c>
    </row>
    <row r="802" spans="1:5" s="27" customFormat="1" ht="23.25">
      <c r="A802" s="21">
        <v>23</v>
      </c>
      <c r="B802" s="2" t="s">
        <v>1100</v>
      </c>
      <c r="C802" s="5">
        <f>0.66+(0.66*5/100)</f>
        <v>0.6930000000000001</v>
      </c>
      <c r="D802" s="5">
        <v>2.03</v>
      </c>
      <c r="E802" s="5">
        <f>C802+D802</f>
        <v>2.723</v>
      </c>
    </row>
    <row r="803" spans="1:5" s="27" customFormat="1" ht="23.25">
      <c r="A803" s="21">
        <v>24</v>
      </c>
      <c r="B803" s="2" t="s">
        <v>1102</v>
      </c>
      <c r="C803" s="5">
        <f>0.66+(0.66*5/100)</f>
        <v>0.6930000000000001</v>
      </c>
      <c r="D803" s="5">
        <v>2.23</v>
      </c>
      <c r="E803" s="5">
        <f t="shared" si="27"/>
        <v>2.923</v>
      </c>
    </row>
    <row r="804" spans="1:5" s="27" customFormat="1" ht="23.25">
      <c r="A804" s="21">
        <v>25</v>
      </c>
      <c r="B804" s="2" t="s">
        <v>1104</v>
      </c>
      <c r="C804" s="5">
        <f>0.66+(0.66*5/100)</f>
        <v>0.6930000000000001</v>
      </c>
      <c r="D804" s="5">
        <v>2.01</v>
      </c>
      <c r="E804" s="5">
        <f t="shared" si="27"/>
        <v>2.703</v>
      </c>
    </row>
    <row r="805" spans="1:5" s="27" customFormat="1" ht="23.25">
      <c r="A805" s="21">
        <v>26</v>
      </c>
      <c r="B805" s="2" t="s">
        <v>1106</v>
      </c>
      <c r="C805" s="5">
        <f>1.62+(1.62*5/100)</f>
        <v>1.701</v>
      </c>
      <c r="D805" s="5">
        <v>6.31</v>
      </c>
      <c r="E805" s="5">
        <f t="shared" si="27"/>
        <v>8.011</v>
      </c>
    </row>
    <row r="806" spans="1:5" s="27" customFormat="1" ht="46.5">
      <c r="A806" s="21">
        <v>27</v>
      </c>
      <c r="B806" s="15" t="s">
        <v>883</v>
      </c>
      <c r="C806" s="5">
        <f>0.74+(0.74*5/100)</f>
        <v>0.777</v>
      </c>
      <c r="D806" s="5">
        <v>2.24</v>
      </c>
      <c r="E806" s="5">
        <f t="shared" si="27"/>
        <v>3.0170000000000003</v>
      </c>
    </row>
    <row r="807" spans="1:5" s="27" customFormat="1" ht="46.5">
      <c r="A807" s="21">
        <v>28</v>
      </c>
      <c r="B807" s="15" t="s">
        <v>1201</v>
      </c>
      <c r="C807" s="5">
        <f>2.18+(2.18*5/100)</f>
        <v>2.289</v>
      </c>
      <c r="D807" s="5">
        <v>25.61</v>
      </c>
      <c r="E807" s="5">
        <f t="shared" si="27"/>
        <v>27.899</v>
      </c>
    </row>
    <row r="808" spans="1:5" s="27" customFormat="1" ht="46.5">
      <c r="A808" s="21">
        <v>29</v>
      </c>
      <c r="B808" s="15" t="s">
        <v>1202</v>
      </c>
      <c r="C808" s="5">
        <f>2.18+(2.18*5/100)</f>
        <v>2.289</v>
      </c>
      <c r="D808" s="5">
        <v>25.61</v>
      </c>
      <c r="E808" s="5">
        <f t="shared" si="27"/>
        <v>27.899</v>
      </c>
    </row>
    <row r="809" spans="1:5" s="27" customFormat="1" ht="23.25">
      <c r="A809" s="21">
        <v>30</v>
      </c>
      <c r="B809" s="15" t="s">
        <v>439</v>
      </c>
      <c r="C809" s="5">
        <f aca="true" t="shared" si="28" ref="C809:C814">0.66+(0.66*5/100)</f>
        <v>0.6930000000000001</v>
      </c>
      <c r="D809" s="5">
        <v>17.34</v>
      </c>
      <c r="E809" s="5">
        <f t="shared" si="27"/>
        <v>18.033</v>
      </c>
    </row>
    <row r="810" spans="1:5" s="27" customFormat="1" ht="23.25">
      <c r="A810" s="21">
        <v>31</v>
      </c>
      <c r="B810" s="15" t="s">
        <v>521</v>
      </c>
      <c r="C810" s="5">
        <f t="shared" si="28"/>
        <v>0.6930000000000001</v>
      </c>
      <c r="D810" s="5">
        <v>2.42</v>
      </c>
      <c r="E810" s="5">
        <f t="shared" si="27"/>
        <v>3.113</v>
      </c>
    </row>
    <row r="811" spans="1:5" s="27" customFormat="1" ht="23.25">
      <c r="A811" s="21">
        <v>32</v>
      </c>
      <c r="B811" s="15" t="s">
        <v>522</v>
      </c>
      <c r="C811" s="5">
        <f t="shared" si="28"/>
        <v>0.6930000000000001</v>
      </c>
      <c r="D811" s="5">
        <v>4.88</v>
      </c>
      <c r="E811" s="5">
        <f t="shared" si="27"/>
        <v>5.573</v>
      </c>
    </row>
    <row r="812" spans="1:5" s="27" customFormat="1" ht="46.5">
      <c r="A812" s="21">
        <v>33</v>
      </c>
      <c r="B812" s="15" t="s">
        <v>523</v>
      </c>
      <c r="C812" s="5">
        <f t="shared" si="28"/>
        <v>0.6930000000000001</v>
      </c>
      <c r="D812" s="5">
        <v>4.88</v>
      </c>
      <c r="E812" s="5">
        <f t="shared" si="27"/>
        <v>5.573</v>
      </c>
    </row>
    <row r="813" spans="1:5" ht="46.5">
      <c r="A813" s="21">
        <v>34</v>
      </c>
      <c r="B813" s="15" t="s">
        <v>524</v>
      </c>
      <c r="C813" s="5">
        <f t="shared" si="28"/>
        <v>0.6930000000000001</v>
      </c>
      <c r="D813" s="5">
        <v>9.08</v>
      </c>
      <c r="E813" s="5">
        <f t="shared" si="27"/>
        <v>9.773</v>
      </c>
    </row>
    <row r="814" spans="1:5" ht="23.25">
      <c r="A814" s="21">
        <v>35</v>
      </c>
      <c r="B814" s="2" t="s">
        <v>603</v>
      </c>
      <c r="C814" s="5">
        <f t="shared" si="28"/>
        <v>0.6930000000000001</v>
      </c>
      <c r="D814" s="5">
        <v>0.42</v>
      </c>
      <c r="E814" s="5">
        <f t="shared" si="27"/>
        <v>1.113</v>
      </c>
    </row>
    <row r="815" spans="1:5" ht="23.25">
      <c r="A815" s="21">
        <v>36</v>
      </c>
      <c r="B815" s="2" t="s">
        <v>607</v>
      </c>
      <c r="C815" s="5">
        <f>(7000+7000+300+100+1400)/10000+(1.58*5/100)</f>
        <v>1.659</v>
      </c>
      <c r="D815" s="5">
        <v>1.8</v>
      </c>
      <c r="E815" s="5">
        <f t="shared" si="27"/>
        <v>3.459</v>
      </c>
    </row>
    <row r="816" spans="1:5" ht="23.25">
      <c r="A816" s="21">
        <v>37</v>
      </c>
      <c r="B816" s="2" t="s">
        <v>608</v>
      </c>
      <c r="C816" s="5">
        <f>(7000+7000+300+100+1400)/10000+(1.58*5/100)</f>
        <v>1.659</v>
      </c>
      <c r="D816" s="5">
        <v>1.78</v>
      </c>
      <c r="E816" s="5">
        <f t="shared" si="27"/>
        <v>3.439</v>
      </c>
    </row>
    <row r="817" spans="1:5" ht="23.25">
      <c r="A817" s="21">
        <v>38</v>
      </c>
      <c r="B817" s="2" t="s">
        <v>609</v>
      </c>
      <c r="C817" s="5">
        <f>(7000+7000+300+100+1400)/10000+(1.58*5/100)</f>
        <v>1.659</v>
      </c>
      <c r="D817" s="5">
        <v>1.79</v>
      </c>
      <c r="E817" s="5">
        <f t="shared" si="27"/>
        <v>3.449</v>
      </c>
    </row>
    <row r="818" spans="1:5" ht="23.25">
      <c r="A818" s="21">
        <v>39</v>
      </c>
      <c r="B818" s="15" t="s">
        <v>598</v>
      </c>
      <c r="C818" s="5">
        <f aca="true" t="shared" si="29" ref="C818:C823">0.66+(0.66*5/100)</f>
        <v>0.6930000000000001</v>
      </c>
      <c r="D818" s="5">
        <v>2.38</v>
      </c>
      <c r="E818" s="5">
        <f t="shared" si="27"/>
        <v>3.073</v>
      </c>
    </row>
    <row r="819" spans="1:5" ht="23.25">
      <c r="A819" s="21">
        <v>40</v>
      </c>
      <c r="B819" s="15" t="s">
        <v>599</v>
      </c>
      <c r="C819" s="5">
        <f t="shared" si="29"/>
        <v>0.6930000000000001</v>
      </c>
      <c r="D819" s="5">
        <v>2.13</v>
      </c>
      <c r="E819" s="5">
        <f t="shared" si="27"/>
        <v>2.823</v>
      </c>
    </row>
    <row r="820" spans="1:5" ht="23.25">
      <c r="A820" s="21">
        <v>41</v>
      </c>
      <c r="B820" s="15" t="s">
        <v>600</v>
      </c>
      <c r="C820" s="5">
        <f t="shared" si="29"/>
        <v>0.6930000000000001</v>
      </c>
      <c r="D820" s="5">
        <v>1.93</v>
      </c>
      <c r="E820" s="5">
        <f t="shared" si="27"/>
        <v>2.623</v>
      </c>
    </row>
    <row r="821" spans="1:5" ht="23.25">
      <c r="A821" s="21">
        <v>42</v>
      </c>
      <c r="B821" s="15" t="s">
        <v>601</v>
      </c>
      <c r="C821" s="5">
        <f t="shared" si="29"/>
        <v>0.6930000000000001</v>
      </c>
      <c r="D821" s="5">
        <v>1.93</v>
      </c>
      <c r="E821" s="5">
        <f t="shared" si="27"/>
        <v>2.623</v>
      </c>
    </row>
    <row r="822" spans="1:5" ht="23.25">
      <c r="A822" s="21">
        <v>43</v>
      </c>
      <c r="B822" s="15" t="s">
        <v>602</v>
      </c>
      <c r="C822" s="5">
        <f t="shared" si="29"/>
        <v>0.6930000000000001</v>
      </c>
      <c r="D822" s="5">
        <v>1.93</v>
      </c>
      <c r="E822" s="5">
        <f t="shared" si="27"/>
        <v>2.623</v>
      </c>
    </row>
    <row r="823" spans="1:5" ht="23.25">
      <c r="A823" s="21">
        <v>44</v>
      </c>
      <c r="B823" s="15" t="s">
        <v>1193</v>
      </c>
      <c r="C823" s="5">
        <f t="shared" si="29"/>
        <v>0.6930000000000001</v>
      </c>
      <c r="D823" s="5">
        <v>5.08</v>
      </c>
      <c r="E823" s="5">
        <f t="shared" si="27"/>
        <v>5.773</v>
      </c>
    </row>
    <row r="824" spans="1:5" ht="46.5">
      <c r="A824" s="21">
        <v>45</v>
      </c>
      <c r="B824" s="2" t="s">
        <v>610</v>
      </c>
      <c r="C824" s="5">
        <f>(6900+100+1400)/10000+(0.84*5/100)</f>
        <v>0.882</v>
      </c>
      <c r="D824" s="5">
        <v>9.3</v>
      </c>
      <c r="E824" s="5">
        <f t="shared" si="27"/>
        <v>10.182</v>
      </c>
    </row>
    <row r="825" spans="1:5" ht="46.5">
      <c r="A825" s="21">
        <v>46</v>
      </c>
      <c r="B825" s="2" t="s">
        <v>611</v>
      </c>
      <c r="C825" s="5">
        <f>(6900+100+1400)/10000+(0.84*5/100)</f>
        <v>0.882</v>
      </c>
      <c r="D825" s="5">
        <v>8.81</v>
      </c>
      <c r="E825" s="5">
        <f t="shared" si="27"/>
        <v>9.692</v>
      </c>
    </row>
    <row r="826" spans="1:5" s="27" customFormat="1" ht="26.25">
      <c r="A826" s="51" t="s">
        <v>1107</v>
      </c>
      <c r="B826" s="51"/>
      <c r="C826" s="51"/>
      <c r="D826" s="51"/>
      <c r="E826" s="51"/>
    </row>
    <row r="827" spans="1:5" s="27" customFormat="1" ht="23.25">
      <c r="A827" s="21">
        <v>1</v>
      </c>
      <c r="B827" s="2" t="s">
        <v>172</v>
      </c>
      <c r="C827" s="5">
        <f>0.51+(0.51*5/100)</f>
        <v>0.5355</v>
      </c>
      <c r="D827" s="5">
        <v>0.04</v>
      </c>
      <c r="E827" s="5">
        <f>C827+D827</f>
        <v>0.5755</v>
      </c>
    </row>
    <row r="828" spans="1:5" s="27" customFormat="1" ht="23.25">
      <c r="A828" s="21">
        <v>2</v>
      </c>
      <c r="B828" s="2" t="s">
        <v>1108</v>
      </c>
      <c r="C828" s="5">
        <f>0.16+(0.16*5/100)</f>
        <v>0.168</v>
      </c>
      <c r="D828" s="5">
        <v>0.01</v>
      </c>
      <c r="E828" s="5">
        <f>C828+D828</f>
        <v>0.17800000000000002</v>
      </c>
    </row>
    <row r="829" spans="1:5" s="27" customFormat="1" ht="23.25">
      <c r="A829" s="21">
        <v>3</v>
      </c>
      <c r="B829" s="2" t="s">
        <v>1110</v>
      </c>
      <c r="C829" s="5">
        <f>0.22+(0.22*5/100)</f>
        <v>0.231</v>
      </c>
      <c r="D829" s="5" t="s">
        <v>104</v>
      </c>
      <c r="E829" s="5">
        <f>C829</f>
        <v>0.231</v>
      </c>
    </row>
    <row r="830" spans="1:5" s="27" customFormat="1" ht="23.25">
      <c r="A830" s="21">
        <v>4</v>
      </c>
      <c r="B830" s="2" t="s">
        <v>173</v>
      </c>
      <c r="C830" s="5">
        <f>0.62+(0.62*5/100)</f>
        <v>0.651</v>
      </c>
      <c r="D830" s="5">
        <v>0.01</v>
      </c>
      <c r="E830" s="5">
        <f aca="true" t="shared" si="30" ref="E830:E846">C830+D830</f>
        <v>0.661</v>
      </c>
    </row>
    <row r="831" spans="1:5" s="27" customFormat="1" ht="23.25">
      <c r="A831" s="21">
        <v>5</v>
      </c>
      <c r="B831" s="2" t="s">
        <v>363</v>
      </c>
      <c r="C831" s="5">
        <f>0.47+(0.47*5/100)</f>
        <v>0.4935</v>
      </c>
      <c r="D831" s="5" t="s">
        <v>104</v>
      </c>
      <c r="E831" s="5">
        <f>C831</f>
        <v>0.4935</v>
      </c>
    </row>
    <row r="832" spans="1:5" s="27" customFormat="1" ht="23.25">
      <c r="A832" s="21">
        <v>6</v>
      </c>
      <c r="B832" s="2" t="s">
        <v>364</v>
      </c>
      <c r="C832" s="5">
        <f>0.7+(0.7*5/100)</f>
        <v>0.735</v>
      </c>
      <c r="D832" s="5">
        <v>0.03</v>
      </c>
      <c r="E832" s="5">
        <f t="shared" si="30"/>
        <v>0.765</v>
      </c>
    </row>
    <row r="833" spans="1:5" s="27" customFormat="1" ht="23.25">
      <c r="A833" s="21">
        <v>7</v>
      </c>
      <c r="B833" s="2" t="s">
        <v>365</v>
      </c>
      <c r="C833" s="5">
        <f>0.57+(0.57*5/100)</f>
        <v>0.5984999999999999</v>
      </c>
      <c r="D833" s="5">
        <v>0.01</v>
      </c>
      <c r="E833" s="5">
        <f t="shared" si="30"/>
        <v>0.6084999999999999</v>
      </c>
    </row>
    <row r="834" spans="1:5" s="27" customFormat="1" ht="23.25">
      <c r="A834" s="21">
        <v>8</v>
      </c>
      <c r="B834" s="2" t="s">
        <v>366</v>
      </c>
      <c r="C834" s="5">
        <f>0.23+(0.23*5/100)</f>
        <v>0.24150000000000002</v>
      </c>
      <c r="D834" s="5" t="s">
        <v>104</v>
      </c>
      <c r="E834" s="5">
        <f>C834</f>
        <v>0.24150000000000002</v>
      </c>
    </row>
    <row r="835" spans="1:5" s="27" customFormat="1" ht="23.25">
      <c r="A835" s="21">
        <v>9</v>
      </c>
      <c r="B835" s="2" t="s">
        <v>367</v>
      </c>
      <c r="C835" s="5">
        <f>0.4+(0.4*5/100)</f>
        <v>0.42000000000000004</v>
      </c>
      <c r="D835" s="5" t="s">
        <v>104</v>
      </c>
      <c r="E835" s="5">
        <f>C835</f>
        <v>0.42000000000000004</v>
      </c>
    </row>
    <row r="836" spans="1:5" s="27" customFormat="1" ht="23.25">
      <c r="A836" s="21">
        <v>10</v>
      </c>
      <c r="B836" s="2" t="s">
        <v>368</v>
      </c>
      <c r="C836" s="5">
        <f>0.5+(0.5*5/100)</f>
        <v>0.525</v>
      </c>
      <c r="D836" s="5">
        <v>0.01</v>
      </c>
      <c r="E836" s="5">
        <f t="shared" si="30"/>
        <v>0.535</v>
      </c>
    </row>
    <row r="837" spans="1:5" s="27" customFormat="1" ht="23.25">
      <c r="A837" s="21">
        <v>11</v>
      </c>
      <c r="B837" s="2" t="s">
        <v>369</v>
      </c>
      <c r="C837" s="5">
        <f>0.5+(0.5*5/100)</f>
        <v>0.525</v>
      </c>
      <c r="D837" s="5" t="s">
        <v>104</v>
      </c>
      <c r="E837" s="5">
        <f>C837</f>
        <v>0.525</v>
      </c>
    </row>
    <row r="838" spans="1:5" s="27" customFormat="1" ht="23.25">
      <c r="A838" s="21">
        <v>12</v>
      </c>
      <c r="B838" s="2" t="s">
        <v>161</v>
      </c>
      <c r="C838" s="5">
        <f>0.81+(0.81*5/100)</f>
        <v>0.8505</v>
      </c>
      <c r="D838" s="5" t="s">
        <v>104</v>
      </c>
      <c r="E838" s="5">
        <f>C838</f>
        <v>0.8505</v>
      </c>
    </row>
    <row r="839" spans="1:5" s="27" customFormat="1" ht="23.25">
      <c r="A839" s="21">
        <v>13</v>
      </c>
      <c r="B839" s="2" t="s">
        <v>162</v>
      </c>
      <c r="C839" s="5">
        <f>0.15+(0.15*5/100)</f>
        <v>0.1575</v>
      </c>
      <c r="D839" s="5" t="s">
        <v>104</v>
      </c>
      <c r="E839" s="5">
        <f>C839</f>
        <v>0.1575</v>
      </c>
    </row>
    <row r="840" spans="1:5" s="27" customFormat="1" ht="23.25">
      <c r="A840" s="21">
        <v>14</v>
      </c>
      <c r="B840" s="2" t="s">
        <v>180</v>
      </c>
      <c r="C840" s="5">
        <f>0.43+(0.43*5/100)</f>
        <v>0.4515</v>
      </c>
      <c r="D840" s="5">
        <v>0.01</v>
      </c>
      <c r="E840" s="5">
        <f t="shared" si="30"/>
        <v>0.4615</v>
      </c>
    </row>
    <row r="841" spans="1:5" s="27" customFormat="1" ht="23.25">
      <c r="A841" s="21">
        <v>15</v>
      </c>
      <c r="B841" s="2" t="s">
        <v>182</v>
      </c>
      <c r="C841" s="5">
        <f>0.65+(0.65*5/100)</f>
        <v>0.6825</v>
      </c>
      <c r="D841" s="5">
        <v>0.04</v>
      </c>
      <c r="E841" s="5">
        <f>C841+D841</f>
        <v>0.7225</v>
      </c>
    </row>
    <row r="842" spans="1:5" s="27" customFormat="1" ht="23.25">
      <c r="A842" s="21">
        <v>16</v>
      </c>
      <c r="B842" s="2" t="s">
        <v>163</v>
      </c>
      <c r="C842" s="5">
        <f>0.47+(0.47*5/100)</f>
        <v>0.4935</v>
      </c>
      <c r="D842" s="5">
        <v>0.01</v>
      </c>
      <c r="E842" s="5">
        <f>C842+D842</f>
        <v>0.5035</v>
      </c>
    </row>
    <row r="843" spans="1:5" s="27" customFormat="1" ht="23.25">
      <c r="A843" s="21">
        <v>17</v>
      </c>
      <c r="B843" s="2" t="s">
        <v>164</v>
      </c>
      <c r="C843" s="5">
        <f>0.23+(0.23*5/100)</f>
        <v>0.24150000000000002</v>
      </c>
      <c r="D843" s="5">
        <v>0.01</v>
      </c>
      <c r="E843" s="5">
        <f t="shared" si="30"/>
        <v>0.2515</v>
      </c>
    </row>
    <row r="844" spans="1:5" s="27" customFormat="1" ht="23.25">
      <c r="A844" s="21">
        <v>18</v>
      </c>
      <c r="B844" s="2" t="s">
        <v>184</v>
      </c>
      <c r="C844" s="5">
        <f>0.37+(0.37*5/100)</f>
        <v>0.3885</v>
      </c>
      <c r="D844" s="5">
        <v>0.02</v>
      </c>
      <c r="E844" s="5">
        <f t="shared" si="30"/>
        <v>0.40850000000000003</v>
      </c>
    </row>
    <row r="845" spans="1:5" s="27" customFormat="1" ht="23.25">
      <c r="A845" s="21">
        <v>19</v>
      </c>
      <c r="B845" s="2" t="s">
        <v>165</v>
      </c>
      <c r="C845" s="5">
        <f>2+(2*5/100)</f>
        <v>2.1</v>
      </c>
      <c r="D845" s="5">
        <v>0.04</v>
      </c>
      <c r="E845" s="5">
        <f t="shared" si="30"/>
        <v>2.14</v>
      </c>
    </row>
    <row r="846" spans="1:5" s="27" customFormat="1" ht="23.25">
      <c r="A846" s="21">
        <v>20</v>
      </c>
      <c r="B846" s="2" t="s">
        <v>274</v>
      </c>
      <c r="C846" s="5">
        <f>0.89+(0.89*5/100)</f>
        <v>0.9345</v>
      </c>
      <c r="D846" s="5">
        <v>0.03</v>
      </c>
      <c r="E846" s="5">
        <f t="shared" si="30"/>
        <v>0.9645</v>
      </c>
    </row>
    <row r="847" spans="1:5" s="27" customFormat="1" ht="23.25">
      <c r="A847" s="21">
        <v>21</v>
      </c>
      <c r="B847" s="2" t="s">
        <v>990</v>
      </c>
      <c r="C847" s="5">
        <f>0.26+(0.26*5/100)</f>
        <v>0.273</v>
      </c>
      <c r="D847" s="5" t="s">
        <v>104</v>
      </c>
      <c r="E847" s="5">
        <f>C847</f>
        <v>0.273</v>
      </c>
    </row>
    <row r="848" spans="1:5" s="27" customFormat="1" ht="23.25">
      <c r="A848" s="21">
        <v>22</v>
      </c>
      <c r="B848" s="2" t="s">
        <v>275</v>
      </c>
      <c r="C848" s="5">
        <f>0.17+(0.17*5/100)</f>
        <v>0.17850000000000002</v>
      </c>
      <c r="D848" s="5">
        <v>0.07</v>
      </c>
      <c r="E848" s="5">
        <f>C848+D848</f>
        <v>0.24850000000000003</v>
      </c>
    </row>
    <row r="849" spans="1:5" s="27" customFormat="1" ht="23.25">
      <c r="A849" s="21">
        <v>23</v>
      </c>
      <c r="B849" s="2" t="s">
        <v>277</v>
      </c>
      <c r="C849" s="5">
        <f>0.09+(0.09*5/100)</f>
        <v>0.0945</v>
      </c>
      <c r="D849" s="5">
        <v>0.08</v>
      </c>
      <c r="E849" s="5">
        <f aca="true" t="shared" si="31" ref="E849:E861">C849+D849</f>
        <v>0.1745</v>
      </c>
    </row>
    <row r="850" spans="1:5" s="27" customFormat="1" ht="23.25">
      <c r="A850" s="21">
        <v>24</v>
      </c>
      <c r="B850" s="2" t="s">
        <v>1170</v>
      </c>
      <c r="C850" s="5">
        <f>0.15+(0.15*5/100)</f>
        <v>0.1575</v>
      </c>
      <c r="D850" s="5">
        <v>0.21</v>
      </c>
      <c r="E850" s="5">
        <f t="shared" si="31"/>
        <v>0.3675</v>
      </c>
    </row>
    <row r="851" spans="1:5" s="27" customFormat="1" ht="23.25">
      <c r="A851" s="21">
        <v>25</v>
      </c>
      <c r="B851" s="2" t="s">
        <v>1121</v>
      </c>
      <c r="C851" s="5">
        <f>0.15+(0.15*5/100)</f>
        <v>0.1575</v>
      </c>
      <c r="D851" s="5">
        <v>0.07</v>
      </c>
      <c r="E851" s="5">
        <f t="shared" si="31"/>
        <v>0.2275</v>
      </c>
    </row>
    <row r="852" spans="1:5" s="27" customFormat="1" ht="23.25">
      <c r="A852" s="21">
        <v>26</v>
      </c>
      <c r="B852" s="2" t="s">
        <v>1171</v>
      </c>
      <c r="C852" s="5">
        <f>0.08+(0.08*5/100)</f>
        <v>0.084</v>
      </c>
      <c r="D852" s="5">
        <v>0.88</v>
      </c>
      <c r="E852" s="5">
        <f>C852+D852</f>
        <v>0.964</v>
      </c>
    </row>
    <row r="853" spans="1:5" s="27" customFormat="1" ht="23.25">
      <c r="A853" s="21">
        <v>27</v>
      </c>
      <c r="B853" s="2" t="s">
        <v>1172</v>
      </c>
      <c r="C853" s="5">
        <f>0.08+(0.08*5/100)</f>
        <v>0.084</v>
      </c>
      <c r="D853" s="5">
        <v>0.89</v>
      </c>
      <c r="E853" s="5">
        <f>C853+D853</f>
        <v>0.974</v>
      </c>
    </row>
    <row r="854" spans="1:5" s="27" customFormat="1" ht="23.25">
      <c r="A854" s="21">
        <v>28</v>
      </c>
      <c r="B854" s="2" t="s">
        <v>1125</v>
      </c>
      <c r="C854" s="5">
        <f>0.15+(0.15*5/100)</f>
        <v>0.1575</v>
      </c>
      <c r="D854" s="5">
        <v>0.18</v>
      </c>
      <c r="E854" s="5">
        <f t="shared" si="31"/>
        <v>0.3375</v>
      </c>
    </row>
    <row r="855" spans="1:5" s="27" customFormat="1" ht="23.25">
      <c r="A855" s="21">
        <v>29</v>
      </c>
      <c r="B855" s="2" t="s">
        <v>1127</v>
      </c>
      <c r="C855" s="5">
        <f>0.21+(0.21*5/100)</f>
        <v>0.2205</v>
      </c>
      <c r="D855" s="5">
        <v>0.18</v>
      </c>
      <c r="E855" s="5">
        <f t="shared" si="31"/>
        <v>0.40049999999999997</v>
      </c>
    </row>
    <row r="856" spans="1:5" s="27" customFormat="1" ht="23.25">
      <c r="A856" s="21">
        <v>30</v>
      </c>
      <c r="B856" s="2" t="s">
        <v>1129</v>
      </c>
      <c r="C856" s="5">
        <f>0.1+(0.1*5/100)</f>
        <v>0.10500000000000001</v>
      </c>
      <c r="D856" s="5">
        <v>0.22</v>
      </c>
      <c r="E856" s="5">
        <f t="shared" si="31"/>
        <v>0.325</v>
      </c>
    </row>
    <row r="857" spans="1:5" s="27" customFormat="1" ht="23.25">
      <c r="A857" s="21">
        <v>31</v>
      </c>
      <c r="B857" s="2" t="s">
        <v>317</v>
      </c>
      <c r="C857" s="5">
        <f>0.09+(0.09*5/100)</f>
        <v>0.0945</v>
      </c>
      <c r="D857" s="5">
        <v>0.07</v>
      </c>
      <c r="E857" s="5">
        <f t="shared" si="31"/>
        <v>0.1645</v>
      </c>
    </row>
    <row r="858" spans="1:5" s="27" customFormat="1" ht="23.25">
      <c r="A858" s="21">
        <v>32</v>
      </c>
      <c r="B858" s="2" t="s">
        <v>318</v>
      </c>
      <c r="C858" s="5">
        <f>0.09+(0.09*5/100)</f>
        <v>0.0945</v>
      </c>
      <c r="D858" s="5">
        <v>0.07</v>
      </c>
      <c r="E858" s="5">
        <f t="shared" si="31"/>
        <v>0.1645</v>
      </c>
    </row>
    <row r="859" spans="1:5" s="27" customFormat="1" ht="46.5">
      <c r="A859" s="21">
        <v>33</v>
      </c>
      <c r="B859" s="2" t="s">
        <v>319</v>
      </c>
      <c r="C859" s="5">
        <f>0.15+(0.15*5/100)</f>
        <v>0.1575</v>
      </c>
      <c r="D859" s="5">
        <v>0.07</v>
      </c>
      <c r="E859" s="5">
        <f t="shared" si="31"/>
        <v>0.2275</v>
      </c>
    </row>
    <row r="860" spans="1:5" s="27" customFormat="1" ht="23.25">
      <c r="A860" s="21">
        <v>34</v>
      </c>
      <c r="B860" s="2" t="s">
        <v>373</v>
      </c>
      <c r="C860" s="5">
        <f>0.34+(0.34*5/100)</f>
        <v>0.35700000000000004</v>
      </c>
      <c r="D860" s="5">
        <v>0.07</v>
      </c>
      <c r="E860" s="5">
        <f t="shared" si="31"/>
        <v>0.42700000000000005</v>
      </c>
    </row>
    <row r="861" spans="1:5" s="27" customFormat="1" ht="23.25">
      <c r="A861" s="21">
        <v>35</v>
      </c>
      <c r="B861" s="2" t="s">
        <v>374</v>
      </c>
      <c r="C861" s="5">
        <f>0.26+(0.26*5/100)</f>
        <v>0.273</v>
      </c>
      <c r="D861" s="5">
        <v>0.22</v>
      </c>
      <c r="E861" s="5">
        <f t="shared" si="31"/>
        <v>0.493</v>
      </c>
    </row>
    <row r="862" spans="1:5" s="27" customFormat="1" ht="23.25">
      <c r="A862" s="21">
        <v>36</v>
      </c>
      <c r="B862" s="2" t="s">
        <v>203</v>
      </c>
      <c r="C862" s="5">
        <f>0.22+(0.22*5/100)</f>
        <v>0.231</v>
      </c>
      <c r="D862" s="5" t="s">
        <v>104</v>
      </c>
      <c r="E862" s="5">
        <f>C862</f>
        <v>0.231</v>
      </c>
    </row>
    <row r="863" spans="1:5" s="27" customFormat="1" ht="23.25">
      <c r="A863" s="21">
        <v>37</v>
      </c>
      <c r="B863" s="2" t="s">
        <v>1130</v>
      </c>
      <c r="C863" s="5">
        <f>3.48+(3.48*5/100)</f>
        <v>3.654</v>
      </c>
      <c r="D863" s="5">
        <v>2.86</v>
      </c>
      <c r="E863" s="5">
        <f>C863+D863</f>
        <v>6.513999999999999</v>
      </c>
    </row>
    <row r="864" spans="1:5" s="27" customFormat="1" ht="23.25">
      <c r="A864" s="21">
        <v>38</v>
      </c>
      <c r="B864" s="2" t="s">
        <v>442</v>
      </c>
      <c r="C864" s="5">
        <f>0.13+(0.13*5/100)</f>
        <v>0.1365</v>
      </c>
      <c r="D864" s="5">
        <v>0.53</v>
      </c>
      <c r="E864" s="5">
        <f>C864+D864</f>
        <v>0.6665000000000001</v>
      </c>
    </row>
    <row r="865" spans="1:5" s="27" customFormat="1" ht="23.25">
      <c r="A865" s="21">
        <v>39</v>
      </c>
      <c r="B865" s="2" t="s">
        <v>290</v>
      </c>
      <c r="C865" s="5">
        <f>0.84+(0.84*5/100)</f>
        <v>0.882</v>
      </c>
      <c r="D865" s="5">
        <v>0.1</v>
      </c>
      <c r="E865" s="5">
        <f>C865+D865</f>
        <v>0.982</v>
      </c>
    </row>
    <row r="866" spans="1:5" s="27" customFormat="1" ht="23.25">
      <c r="A866" s="21">
        <v>40</v>
      </c>
      <c r="B866" s="2" t="s">
        <v>291</v>
      </c>
      <c r="C866" s="5">
        <f>1.09+(1.09*5/100)</f>
        <v>1.1445</v>
      </c>
      <c r="D866" s="5">
        <v>0.06</v>
      </c>
      <c r="E866" s="5">
        <f>C866+D866</f>
        <v>1.2045000000000001</v>
      </c>
    </row>
    <row r="867" spans="1:5" s="27" customFormat="1" ht="23.25">
      <c r="A867" s="21">
        <v>41</v>
      </c>
      <c r="B867" s="2" t="s">
        <v>585</v>
      </c>
      <c r="C867" s="5" t="s">
        <v>104</v>
      </c>
      <c r="D867" s="5">
        <v>0.19</v>
      </c>
      <c r="E867" s="5">
        <f>D867</f>
        <v>0.19</v>
      </c>
    </row>
    <row r="868" spans="1:5" s="27" customFormat="1" ht="23.25">
      <c r="A868" s="21">
        <v>42</v>
      </c>
      <c r="B868" s="2" t="s">
        <v>587</v>
      </c>
      <c r="C868" s="5">
        <f>0.26+(0.26*5/100)</f>
        <v>0.273</v>
      </c>
      <c r="D868" s="5">
        <v>1.81</v>
      </c>
      <c r="E868" s="5">
        <f>D868</f>
        <v>1.81</v>
      </c>
    </row>
    <row r="869" spans="1:5" s="27" customFormat="1" ht="23.25">
      <c r="A869" s="21">
        <v>43</v>
      </c>
      <c r="B869" s="2" t="s">
        <v>588</v>
      </c>
      <c r="C869" s="5">
        <f>0.14+(0.14*5/100)</f>
        <v>0.14700000000000002</v>
      </c>
      <c r="D869" s="5">
        <v>0.24</v>
      </c>
      <c r="E869" s="5">
        <f aca="true" t="shared" si="32" ref="E869:E894">C869+D869</f>
        <v>0.387</v>
      </c>
    </row>
    <row r="870" spans="1:5" s="27" customFormat="1" ht="23.25">
      <c r="A870" s="21">
        <v>44</v>
      </c>
      <c r="B870" s="2" t="s">
        <v>589</v>
      </c>
      <c r="C870" s="5">
        <f>0.14+(0.14*5/100)</f>
        <v>0.14700000000000002</v>
      </c>
      <c r="D870" s="5">
        <v>0.31</v>
      </c>
      <c r="E870" s="5">
        <f t="shared" si="32"/>
        <v>0.457</v>
      </c>
    </row>
    <row r="871" spans="1:5" s="27" customFormat="1" ht="23.25">
      <c r="A871" s="21">
        <v>45</v>
      </c>
      <c r="B871" s="2" t="s">
        <v>590</v>
      </c>
      <c r="C871" s="5">
        <f>0.09+(0.09*5/100)</f>
        <v>0.0945</v>
      </c>
      <c r="D871" s="5">
        <v>0.21</v>
      </c>
      <c r="E871" s="5">
        <f t="shared" si="32"/>
        <v>0.3045</v>
      </c>
    </row>
    <row r="872" spans="1:5" s="27" customFormat="1" ht="23.25">
      <c r="A872" s="21">
        <v>46</v>
      </c>
      <c r="B872" s="2" t="s">
        <v>1129</v>
      </c>
      <c r="C872" s="5">
        <f>0.1+(0.1*5/100)</f>
        <v>0.10500000000000001</v>
      </c>
      <c r="D872" s="5">
        <v>0.22</v>
      </c>
      <c r="E872" s="5">
        <f t="shared" si="32"/>
        <v>0.325</v>
      </c>
    </row>
    <row r="873" spans="1:5" s="27" customFormat="1" ht="23.25">
      <c r="A873" s="21">
        <v>47</v>
      </c>
      <c r="B873" s="2" t="s">
        <v>591</v>
      </c>
      <c r="C873" s="5">
        <f>0.14+(0.14*5/100)</f>
        <v>0.14700000000000002</v>
      </c>
      <c r="D873" s="5">
        <v>0.25</v>
      </c>
      <c r="E873" s="5">
        <f t="shared" si="32"/>
        <v>0.397</v>
      </c>
    </row>
    <row r="874" spans="1:5" s="27" customFormat="1" ht="23.25">
      <c r="A874" s="21">
        <v>48</v>
      </c>
      <c r="B874" s="2" t="s">
        <v>592</v>
      </c>
      <c r="C874" s="5">
        <f>0.09+(0.09*5/100)</f>
        <v>0.0945</v>
      </c>
      <c r="D874" s="5">
        <v>1.13</v>
      </c>
      <c r="E874" s="5">
        <f t="shared" si="32"/>
        <v>1.2245</v>
      </c>
    </row>
    <row r="875" spans="1:5" s="27" customFormat="1" ht="23.25">
      <c r="A875" s="21">
        <v>49</v>
      </c>
      <c r="B875" s="2" t="s">
        <v>593</v>
      </c>
      <c r="C875" s="5">
        <f>0.09+(0.09*5/100)</f>
        <v>0.0945</v>
      </c>
      <c r="D875" s="5">
        <v>0.99</v>
      </c>
      <c r="E875" s="5">
        <f t="shared" si="32"/>
        <v>1.0845</v>
      </c>
    </row>
    <row r="876" spans="1:5" s="27" customFormat="1" ht="46.5">
      <c r="A876" s="21">
        <v>50</v>
      </c>
      <c r="B876" s="2" t="s">
        <v>1212</v>
      </c>
      <c r="C876" s="5">
        <f>0.41+0.41</f>
        <v>0.82</v>
      </c>
      <c r="D876" s="5">
        <v>0</v>
      </c>
      <c r="E876" s="5">
        <f t="shared" si="32"/>
        <v>0.82</v>
      </c>
    </row>
    <row r="877" spans="1:5" s="27" customFormat="1" ht="69.75">
      <c r="A877" s="21">
        <v>51</v>
      </c>
      <c r="B877" s="2" t="s">
        <v>1213</v>
      </c>
      <c r="C877" s="5">
        <f aca="true" t="shared" si="33" ref="C877:C887">0.27</f>
        <v>0.27</v>
      </c>
      <c r="D877" s="5">
        <v>0.08</v>
      </c>
      <c r="E877" s="5">
        <f t="shared" si="32"/>
        <v>0.35000000000000003</v>
      </c>
    </row>
    <row r="878" spans="1:5" s="27" customFormat="1" ht="69.75">
      <c r="A878" s="21">
        <v>52</v>
      </c>
      <c r="B878" s="2" t="s">
        <v>1214</v>
      </c>
      <c r="C878" s="5">
        <f t="shared" si="33"/>
        <v>0.27</v>
      </c>
      <c r="D878" s="5">
        <v>0.08</v>
      </c>
      <c r="E878" s="5">
        <f t="shared" si="32"/>
        <v>0.35000000000000003</v>
      </c>
    </row>
    <row r="879" spans="1:5" s="27" customFormat="1" ht="69.75">
      <c r="A879" s="21">
        <v>53</v>
      </c>
      <c r="B879" s="2" t="s">
        <v>1215</v>
      </c>
      <c r="C879" s="5">
        <f t="shared" si="33"/>
        <v>0.27</v>
      </c>
      <c r="D879" s="5">
        <v>0.39</v>
      </c>
      <c r="E879" s="5">
        <f t="shared" si="32"/>
        <v>0.66</v>
      </c>
    </row>
    <row r="880" spans="1:5" s="27" customFormat="1" ht="23.25">
      <c r="A880" s="21">
        <v>54</v>
      </c>
      <c r="B880" s="2" t="s">
        <v>276</v>
      </c>
      <c r="C880" s="5">
        <f>0.27</f>
        <v>0.27</v>
      </c>
      <c r="D880" s="5">
        <v>0.03</v>
      </c>
      <c r="E880" s="5">
        <f t="shared" si="32"/>
        <v>0.30000000000000004</v>
      </c>
    </row>
    <row r="881" spans="1:5" s="27" customFormat="1" ht="46.5">
      <c r="A881" s="21">
        <v>55</v>
      </c>
      <c r="B881" s="2" t="s">
        <v>1216</v>
      </c>
      <c r="C881" s="5">
        <f t="shared" si="33"/>
        <v>0.27</v>
      </c>
      <c r="D881" s="5">
        <v>0.12</v>
      </c>
      <c r="E881" s="5">
        <f t="shared" si="32"/>
        <v>0.39</v>
      </c>
    </row>
    <row r="882" spans="1:5" s="27" customFormat="1" ht="46.5">
      <c r="A882" s="21">
        <v>56</v>
      </c>
      <c r="B882" s="2" t="s">
        <v>1217</v>
      </c>
      <c r="C882" s="5">
        <f t="shared" si="33"/>
        <v>0.27</v>
      </c>
      <c r="D882" s="5">
        <v>0.17</v>
      </c>
      <c r="E882" s="5">
        <f t="shared" si="32"/>
        <v>0.44000000000000006</v>
      </c>
    </row>
    <row r="883" spans="1:5" s="27" customFormat="1" ht="46.5">
      <c r="A883" s="21">
        <v>57</v>
      </c>
      <c r="B883" s="2" t="s">
        <v>1218</v>
      </c>
      <c r="C883" s="5">
        <f>0.28+0.36</f>
        <v>0.64</v>
      </c>
      <c r="D883" s="5">
        <v>0.11</v>
      </c>
      <c r="E883" s="5">
        <f t="shared" si="32"/>
        <v>0.75</v>
      </c>
    </row>
    <row r="884" spans="1:5" s="27" customFormat="1" ht="46.5">
      <c r="A884" s="21">
        <v>58</v>
      </c>
      <c r="B884" s="2" t="s">
        <v>1219</v>
      </c>
      <c r="C884" s="5">
        <f>0.27</f>
        <v>0.27</v>
      </c>
      <c r="D884" s="5">
        <v>0.11</v>
      </c>
      <c r="E884" s="5">
        <f t="shared" si="32"/>
        <v>0.38</v>
      </c>
    </row>
    <row r="885" spans="1:5" s="27" customFormat="1" ht="46.5">
      <c r="A885" s="21">
        <v>59</v>
      </c>
      <c r="B885" s="2" t="s">
        <v>1220</v>
      </c>
      <c r="C885" s="5">
        <f t="shared" si="33"/>
        <v>0.27</v>
      </c>
      <c r="D885" s="5">
        <v>0.11</v>
      </c>
      <c r="E885" s="5">
        <f t="shared" si="32"/>
        <v>0.38</v>
      </c>
    </row>
    <row r="886" spans="1:5" s="27" customFormat="1" ht="69.75">
      <c r="A886" s="21">
        <v>60</v>
      </c>
      <c r="B886" s="2" t="s">
        <v>1221</v>
      </c>
      <c r="C886" s="5">
        <f>0.27</f>
        <v>0.27</v>
      </c>
      <c r="D886" s="5">
        <f>0.11+0.6+1.84</f>
        <v>2.55</v>
      </c>
      <c r="E886" s="5">
        <f t="shared" si="32"/>
        <v>2.82</v>
      </c>
    </row>
    <row r="887" spans="1:5" s="27" customFormat="1" ht="46.5">
      <c r="A887" s="21">
        <v>61</v>
      </c>
      <c r="B887" s="2" t="s">
        <v>1222</v>
      </c>
      <c r="C887" s="5">
        <f t="shared" si="33"/>
        <v>0.27</v>
      </c>
      <c r="D887" s="5">
        <v>0.22</v>
      </c>
      <c r="E887" s="5">
        <f t="shared" si="32"/>
        <v>0.49</v>
      </c>
    </row>
    <row r="888" spans="1:5" s="27" customFormat="1" ht="46.5">
      <c r="A888" s="21">
        <v>62</v>
      </c>
      <c r="B888" s="2" t="s">
        <v>1223</v>
      </c>
      <c r="C888" s="5">
        <f>0.27</f>
        <v>0.27</v>
      </c>
      <c r="D888" s="5">
        <v>0.11</v>
      </c>
      <c r="E888" s="5">
        <f t="shared" si="32"/>
        <v>0.38</v>
      </c>
    </row>
    <row r="889" spans="1:5" s="27" customFormat="1" ht="23.25">
      <c r="A889" s="21">
        <v>63</v>
      </c>
      <c r="B889" s="1" t="s">
        <v>1226</v>
      </c>
      <c r="C889" s="5">
        <f>0.28+0.69</f>
        <v>0.97</v>
      </c>
      <c r="D889" s="5">
        <v>2.49</v>
      </c>
      <c r="E889" s="5">
        <f t="shared" si="32"/>
        <v>3.46</v>
      </c>
    </row>
    <row r="890" spans="1:5" s="27" customFormat="1" ht="69.75">
      <c r="A890" s="21">
        <v>64</v>
      </c>
      <c r="B890" s="1" t="s">
        <v>1227</v>
      </c>
      <c r="C890" s="5">
        <f>0.28+0.55+1.74+0.28</f>
        <v>2.8500000000000005</v>
      </c>
      <c r="D890" s="5">
        <v>0.04</v>
      </c>
      <c r="E890" s="5">
        <f t="shared" si="32"/>
        <v>2.8900000000000006</v>
      </c>
    </row>
    <row r="891" spans="1:5" s="27" customFormat="1" ht="69.75">
      <c r="A891" s="21">
        <v>65</v>
      </c>
      <c r="B891" s="1" t="s">
        <v>1228</v>
      </c>
      <c r="C891" s="5">
        <f>0.28+0.55+0.55+0.28+0.34+0.07</f>
        <v>2.07</v>
      </c>
      <c r="D891" s="5">
        <v>0.04</v>
      </c>
      <c r="E891" s="5">
        <f t="shared" si="32"/>
        <v>2.11</v>
      </c>
    </row>
    <row r="892" spans="1:5" s="27" customFormat="1" ht="69.75">
      <c r="A892" s="21">
        <v>66</v>
      </c>
      <c r="B892" s="1" t="s">
        <v>1229</v>
      </c>
      <c r="C892" s="5">
        <f>0.28+0.64+0.28</f>
        <v>1.2000000000000002</v>
      </c>
      <c r="D892" s="5">
        <v>0.04</v>
      </c>
      <c r="E892" s="5">
        <f t="shared" si="32"/>
        <v>1.2400000000000002</v>
      </c>
    </row>
    <row r="893" spans="1:5" s="27" customFormat="1" ht="69.75">
      <c r="A893" s="21">
        <v>67</v>
      </c>
      <c r="B893" s="1" t="s">
        <v>1230</v>
      </c>
      <c r="C893" s="5">
        <f>0.28+0.64+0.28+0.34+0.07</f>
        <v>1.6100000000000003</v>
      </c>
      <c r="D893" s="5">
        <v>0.04</v>
      </c>
      <c r="E893" s="5">
        <f t="shared" si="32"/>
        <v>1.6500000000000004</v>
      </c>
    </row>
    <row r="894" spans="1:5" s="27" customFormat="1" ht="46.5">
      <c r="A894" s="21">
        <v>68</v>
      </c>
      <c r="B894" s="1" t="s">
        <v>1231</v>
      </c>
      <c r="C894" s="5">
        <f>0.28+0.28+0.91</f>
        <v>1.4700000000000002</v>
      </c>
      <c r="D894" s="5">
        <v>10.05</v>
      </c>
      <c r="E894" s="5">
        <f t="shared" si="32"/>
        <v>11.520000000000001</v>
      </c>
    </row>
    <row r="895" spans="1:5" s="27" customFormat="1" ht="26.25">
      <c r="A895" s="49" t="s">
        <v>1192</v>
      </c>
      <c r="B895" s="49"/>
      <c r="C895" s="49"/>
      <c r="D895" s="49"/>
      <c r="E895" s="49"/>
    </row>
    <row r="896" spans="1:5" s="27" customFormat="1" ht="23.25">
      <c r="A896" s="21" t="s">
        <v>202</v>
      </c>
      <c r="B896" s="2" t="s">
        <v>1178</v>
      </c>
      <c r="C896" s="5">
        <f>0.14+0.03+(0.17*5/100)</f>
        <v>0.17850000000000002</v>
      </c>
      <c r="D896" s="5">
        <v>0.43</v>
      </c>
      <c r="E896" s="5">
        <f aca="true" t="shared" si="34" ref="E896:E905">C896+D896</f>
        <v>0.6085</v>
      </c>
    </row>
    <row r="897" spans="1:5" s="27" customFormat="1" ht="24.75" customHeight="1">
      <c r="A897" s="21" t="s">
        <v>557</v>
      </c>
      <c r="B897" s="2" t="s">
        <v>1179</v>
      </c>
      <c r="C897" s="5">
        <f aca="true" t="shared" si="35" ref="C897:C905">0.12+0.14+(0.26*5/100)</f>
        <v>0.273</v>
      </c>
      <c r="D897" s="5">
        <v>0.82</v>
      </c>
      <c r="E897" s="5">
        <f>C897+D897</f>
        <v>1.093</v>
      </c>
    </row>
    <row r="898" spans="1:5" s="27" customFormat="1" ht="46.5">
      <c r="A898" s="21" t="s">
        <v>1109</v>
      </c>
      <c r="B898" s="2" t="s">
        <v>1180</v>
      </c>
      <c r="C898" s="5">
        <f t="shared" si="35"/>
        <v>0.273</v>
      </c>
      <c r="D898" s="5">
        <v>0.76</v>
      </c>
      <c r="E898" s="5">
        <f t="shared" si="34"/>
        <v>1.033</v>
      </c>
    </row>
    <row r="899" spans="1:5" s="27" customFormat="1" ht="23.25">
      <c r="A899" s="21" t="s">
        <v>175</v>
      </c>
      <c r="B899" s="2" t="s">
        <v>1181</v>
      </c>
      <c r="C899" s="5">
        <f t="shared" si="35"/>
        <v>0.273</v>
      </c>
      <c r="D899" s="5">
        <v>0.79</v>
      </c>
      <c r="E899" s="5">
        <f t="shared" si="34"/>
        <v>1.0630000000000002</v>
      </c>
    </row>
    <row r="900" spans="1:5" s="27" customFormat="1" ht="23.25">
      <c r="A900" s="21" t="s">
        <v>177</v>
      </c>
      <c r="B900" s="2" t="s">
        <v>1182</v>
      </c>
      <c r="C900" s="5">
        <f t="shared" si="35"/>
        <v>0.273</v>
      </c>
      <c r="D900" s="5">
        <v>0.76</v>
      </c>
      <c r="E900" s="5">
        <f t="shared" si="34"/>
        <v>1.033</v>
      </c>
    </row>
    <row r="901" spans="1:5" s="27" customFormat="1" ht="46.5">
      <c r="A901" s="21" t="s">
        <v>179</v>
      </c>
      <c r="B901" s="2" t="s">
        <v>1187</v>
      </c>
      <c r="C901" s="5">
        <f t="shared" si="35"/>
        <v>0.273</v>
      </c>
      <c r="D901" s="5">
        <v>1.17</v>
      </c>
      <c r="E901" s="5">
        <f t="shared" si="34"/>
        <v>1.443</v>
      </c>
    </row>
    <row r="902" spans="1:5" s="27" customFormat="1" ht="69.75">
      <c r="A902" s="21" t="s">
        <v>181</v>
      </c>
      <c r="B902" s="2" t="s">
        <v>1183</v>
      </c>
      <c r="C902" s="5">
        <f t="shared" si="35"/>
        <v>0.273</v>
      </c>
      <c r="D902" s="5">
        <v>1.17</v>
      </c>
      <c r="E902" s="5">
        <f t="shared" si="34"/>
        <v>1.443</v>
      </c>
    </row>
    <row r="903" spans="1:5" s="27" customFormat="1" ht="69.75">
      <c r="A903" s="21" t="s">
        <v>183</v>
      </c>
      <c r="B903" s="2" t="s">
        <v>1184</v>
      </c>
      <c r="C903" s="5">
        <f t="shared" si="35"/>
        <v>0.273</v>
      </c>
      <c r="D903" s="5">
        <v>1.55</v>
      </c>
      <c r="E903" s="5">
        <f t="shared" si="34"/>
        <v>1.823</v>
      </c>
    </row>
    <row r="904" spans="1:5" s="27" customFormat="1" ht="69.75">
      <c r="A904" s="21" t="s">
        <v>185</v>
      </c>
      <c r="B904" s="2" t="s">
        <v>1185</v>
      </c>
      <c r="C904" s="5">
        <f t="shared" si="35"/>
        <v>0.273</v>
      </c>
      <c r="D904" s="5">
        <v>1.52</v>
      </c>
      <c r="E904" s="5">
        <f t="shared" si="34"/>
        <v>1.7930000000000001</v>
      </c>
    </row>
    <row r="905" spans="1:5" s="27" customFormat="1" ht="76.5" customHeight="1">
      <c r="A905" s="21" t="s">
        <v>187</v>
      </c>
      <c r="B905" s="2" t="s">
        <v>1186</v>
      </c>
      <c r="C905" s="5">
        <f t="shared" si="35"/>
        <v>0.273</v>
      </c>
      <c r="D905" s="5">
        <v>1.9</v>
      </c>
      <c r="E905" s="5">
        <f t="shared" si="34"/>
        <v>2.173</v>
      </c>
    </row>
    <row r="906" spans="1:5" s="27" customFormat="1" ht="26.25">
      <c r="A906" s="49" t="s">
        <v>204</v>
      </c>
      <c r="B906" s="49"/>
      <c r="C906" s="49"/>
      <c r="D906" s="49"/>
      <c r="E906" s="49"/>
    </row>
    <row r="907" spans="1:5" s="27" customFormat="1" ht="23.25">
      <c r="A907" s="21" t="s">
        <v>116</v>
      </c>
      <c r="B907" s="2" t="s">
        <v>205</v>
      </c>
      <c r="C907" s="5">
        <f>1.91+(1.91*5/100)</f>
        <v>2.0055</v>
      </c>
      <c r="D907" s="5">
        <v>0</v>
      </c>
      <c r="E907" s="5">
        <f>C907+D907</f>
        <v>2.0055</v>
      </c>
    </row>
    <row r="908" spans="1:5" s="27" customFormat="1" ht="23.25">
      <c r="A908" s="21" t="s">
        <v>121</v>
      </c>
      <c r="B908" s="2" t="s">
        <v>1084</v>
      </c>
      <c r="C908" s="5">
        <f>1.5+(1.5*5/100)</f>
        <v>1.575</v>
      </c>
      <c r="D908" s="5">
        <v>0</v>
      </c>
      <c r="E908" s="5">
        <f aca="true" t="shared" si="36" ref="E908:E927">C908+D908</f>
        <v>1.575</v>
      </c>
    </row>
    <row r="909" spans="1:5" s="27" customFormat="1" ht="23.25">
      <c r="A909" s="21" t="s">
        <v>123</v>
      </c>
      <c r="B909" s="2" t="s">
        <v>206</v>
      </c>
      <c r="C909" s="5">
        <f>1.73+(1.73*5/100)</f>
        <v>1.8165</v>
      </c>
      <c r="D909" s="5">
        <v>0</v>
      </c>
      <c r="E909" s="5">
        <f t="shared" si="36"/>
        <v>1.8165</v>
      </c>
    </row>
    <row r="910" spans="1:5" s="27" customFormat="1" ht="23.25">
      <c r="A910" s="21" t="s">
        <v>1117</v>
      </c>
      <c r="B910" s="2" t="s">
        <v>207</v>
      </c>
      <c r="C910" s="5">
        <f>1.54+(1.54*5/100)</f>
        <v>1.617</v>
      </c>
      <c r="D910" s="5">
        <v>0</v>
      </c>
      <c r="E910" s="5">
        <f t="shared" si="36"/>
        <v>1.617</v>
      </c>
    </row>
    <row r="911" spans="1:5" s="27" customFormat="1" ht="23.25">
      <c r="A911" s="21" t="s">
        <v>549</v>
      </c>
      <c r="B911" s="2" t="s">
        <v>208</v>
      </c>
      <c r="C911" s="5">
        <f>1.47+(1.47*5/100)</f>
        <v>1.5434999999999999</v>
      </c>
      <c r="D911" s="5">
        <v>0</v>
      </c>
      <c r="E911" s="5">
        <f t="shared" si="36"/>
        <v>1.5434999999999999</v>
      </c>
    </row>
    <row r="912" spans="1:5" s="27" customFormat="1" ht="23.25">
      <c r="A912" s="21" t="s">
        <v>552</v>
      </c>
      <c r="B912" s="2" t="s">
        <v>209</v>
      </c>
      <c r="C912" s="5">
        <f>2.03+(2.03*5/100)</f>
        <v>2.1315</v>
      </c>
      <c r="D912" s="5">
        <v>0.01</v>
      </c>
      <c r="E912" s="5">
        <f t="shared" si="36"/>
        <v>2.1414999999999997</v>
      </c>
    </row>
    <row r="913" spans="1:5" s="27" customFormat="1" ht="46.5">
      <c r="A913" s="21" t="s">
        <v>351</v>
      </c>
      <c r="B913" s="2" t="s">
        <v>3</v>
      </c>
      <c r="C913" s="5">
        <f>2+(2*5/100)</f>
        <v>2.1</v>
      </c>
      <c r="D913" s="5">
        <v>0</v>
      </c>
      <c r="E913" s="5">
        <f t="shared" si="36"/>
        <v>2.1</v>
      </c>
    </row>
    <row r="914" spans="1:5" s="27" customFormat="1" ht="23.25">
      <c r="A914" s="21" t="s">
        <v>352</v>
      </c>
      <c r="B914" s="2" t="s">
        <v>210</v>
      </c>
      <c r="C914" s="5">
        <f>1.73+(1.73*5/100)</f>
        <v>1.8165</v>
      </c>
      <c r="D914" s="5">
        <v>0.16</v>
      </c>
      <c r="E914" s="5">
        <f t="shared" si="36"/>
        <v>1.9765</v>
      </c>
    </row>
    <row r="915" spans="1:5" s="27" customFormat="1" ht="23.25">
      <c r="A915" s="21" t="s">
        <v>354</v>
      </c>
      <c r="B915" s="2" t="s">
        <v>229</v>
      </c>
      <c r="C915" s="5">
        <f>2.15+(2.15*5/100)</f>
        <v>2.2575</v>
      </c>
      <c r="D915" s="5">
        <v>0.16</v>
      </c>
      <c r="E915" s="5">
        <f t="shared" si="36"/>
        <v>2.4175</v>
      </c>
    </row>
    <row r="916" spans="1:5" s="27" customFormat="1" ht="23.25">
      <c r="A916" s="21" t="s">
        <v>355</v>
      </c>
      <c r="B916" s="2" t="s">
        <v>211</v>
      </c>
      <c r="C916" s="5">
        <f>1.39+(1.39*5/100)</f>
        <v>1.4594999999999998</v>
      </c>
      <c r="D916" s="5">
        <v>0.16</v>
      </c>
      <c r="E916" s="5">
        <f t="shared" si="36"/>
        <v>1.6194999999999997</v>
      </c>
    </row>
    <row r="917" spans="1:5" s="27" customFormat="1" ht="46.5">
      <c r="A917" s="21" t="s">
        <v>356</v>
      </c>
      <c r="B917" s="2" t="s">
        <v>452</v>
      </c>
      <c r="C917" s="5">
        <f>1.69+(1.69*5/100)</f>
        <v>1.7745</v>
      </c>
      <c r="D917" s="5">
        <v>0</v>
      </c>
      <c r="E917" s="5">
        <f t="shared" si="36"/>
        <v>1.7745</v>
      </c>
    </row>
    <row r="918" spans="1:5" s="27" customFormat="1" ht="23.25">
      <c r="A918" s="21" t="s">
        <v>357</v>
      </c>
      <c r="B918" s="2" t="s">
        <v>212</v>
      </c>
      <c r="C918" s="5">
        <f>2.45+(2.45*5/100)</f>
        <v>2.5725000000000002</v>
      </c>
      <c r="D918" s="5">
        <v>0.23</v>
      </c>
      <c r="E918" s="5">
        <f t="shared" si="36"/>
        <v>2.8025</v>
      </c>
    </row>
    <row r="919" spans="1:5" s="27" customFormat="1" ht="23.25">
      <c r="A919" s="21" t="s">
        <v>358</v>
      </c>
      <c r="B919" s="2" t="s">
        <v>213</v>
      </c>
      <c r="C919" s="5">
        <f>1.86+(1.86*5/100)</f>
        <v>1.953</v>
      </c>
      <c r="D919" s="5">
        <v>0.14</v>
      </c>
      <c r="E919" s="5">
        <f t="shared" si="36"/>
        <v>2.093</v>
      </c>
    </row>
    <row r="920" spans="1:5" s="27" customFormat="1" ht="46.5">
      <c r="A920" s="21" t="s">
        <v>359</v>
      </c>
      <c r="B920" s="2" t="s">
        <v>214</v>
      </c>
      <c r="C920" s="5">
        <f>2.6+(2.6*5/100)</f>
        <v>2.73</v>
      </c>
      <c r="D920" s="5">
        <v>0</v>
      </c>
      <c r="E920" s="5">
        <f t="shared" si="36"/>
        <v>2.73</v>
      </c>
    </row>
    <row r="921" spans="1:5" s="27" customFormat="1" ht="23.25">
      <c r="A921" s="21" t="s">
        <v>360</v>
      </c>
      <c r="B921" s="2" t="s">
        <v>330</v>
      </c>
      <c r="C921" s="5">
        <f>0.55+(0.55*5/100)</f>
        <v>0.5775</v>
      </c>
      <c r="D921" s="5">
        <v>0</v>
      </c>
      <c r="E921" s="5">
        <f t="shared" si="36"/>
        <v>0.5775</v>
      </c>
    </row>
    <row r="922" spans="1:5" s="27" customFormat="1" ht="23.25">
      <c r="A922" s="21" t="s">
        <v>127</v>
      </c>
      <c r="B922" s="2" t="s">
        <v>215</v>
      </c>
      <c r="C922" s="5">
        <f>1.05+(1.05*5/100)</f>
        <v>1.1025</v>
      </c>
      <c r="D922" s="5">
        <v>0.01</v>
      </c>
      <c r="E922" s="5">
        <f t="shared" si="36"/>
        <v>1.1125</v>
      </c>
    </row>
    <row r="923" spans="1:5" s="27" customFormat="1" ht="23.25">
      <c r="A923" s="21" t="s">
        <v>129</v>
      </c>
      <c r="B923" s="2" t="s">
        <v>216</v>
      </c>
      <c r="C923" s="5">
        <f>0.28+(0.28*5/100)</f>
        <v>0.29400000000000004</v>
      </c>
      <c r="D923" s="5">
        <v>0</v>
      </c>
      <c r="E923" s="5">
        <f t="shared" si="36"/>
        <v>0.29400000000000004</v>
      </c>
    </row>
    <row r="924" spans="1:5" s="27" customFormat="1" ht="23.25">
      <c r="A924" s="21" t="s">
        <v>217</v>
      </c>
      <c r="B924" s="2" t="s">
        <v>264</v>
      </c>
      <c r="C924" s="5">
        <f>0.44+(0.44*5/100)</f>
        <v>0.462</v>
      </c>
      <c r="D924" s="5">
        <v>0.01</v>
      </c>
      <c r="E924" s="5">
        <f t="shared" si="36"/>
        <v>0.47200000000000003</v>
      </c>
    </row>
    <row r="925" spans="1:5" s="27" customFormat="1" ht="23.25">
      <c r="A925" s="21" t="s">
        <v>265</v>
      </c>
      <c r="B925" s="2" t="s">
        <v>266</v>
      </c>
      <c r="C925" s="5">
        <f>4.64+(4.64*5/100)</f>
        <v>4.872</v>
      </c>
      <c r="D925" s="5">
        <v>0</v>
      </c>
      <c r="E925" s="5">
        <f t="shared" si="36"/>
        <v>4.872</v>
      </c>
    </row>
    <row r="926" spans="1:5" s="27" customFormat="1" ht="23.25">
      <c r="A926" s="21" t="s">
        <v>267</v>
      </c>
      <c r="B926" s="2" t="s">
        <v>268</v>
      </c>
      <c r="C926" s="5">
        <f>1.67+(1.67*5/100)</f>
        <v>1.7534999999999998</v>
      </c>
      <c r="D926" s="5">
        <v>0.01</v>
      </c>
      <c r="E926" s="5">
        <f t="shared" si="36"/>
        <v>1.7634999999999998</v>
      </c>
    </row>
    <row r="927" spans="1:5" s="27" customFormat="1" ht="23.25">
      <c r="A927" s="21" t="s">
        <v>269</v>
      </c>
      <c r="B927" s="2" t="s">
        <v>270</v>
      </c>
      <c r="C927" s="5">
        <f>0.14+(0.14*5/100)</f>
        <v>0.14700000000000002</v>
      </c>
      <c r="D927" s="5">
        <v>0.01</v>
      </c>
      <c r="E927" s="5">
        <f t="shared" si="36"/>
        <v>0.15700000000000003</v>
      </c>
    </row>
    <row r="928" spans="1:5" s="27" customFormat="1" ht="23.25">
      <c r="A928" s="21"/>
      <c r="B928" s="2" t="s">
        <v>271</v>
      </c>
      <c r="C928" s="5">
        <f>SUM(C907:C927)</f>
        <v>36.561</v>
      </c>
      <c r="D928" s="5"/>
      <c r="E928" s="5">
        <f>SUM(E907:E927)</f>
        <v>37.461</v>
      </c>
    </row>
    <row r="929" spans="1:5" s="27" customFormat="1" ht="23.25">
      <c r="A929" s="21" t="s">
        <v>1118</v>
      </c>
      <c r="B929" s="2" t="s">
        <v>272</v>
      </c>
      <c r="C929" s="5">
        <f>2.24+(2.24*5/100)</f>
        <v>2.3520000000000003</v>
      </c>
      <c r="D929" s="5">
        <v>1.29</v>
      </c>
      <c r="E929" s="5">
        <f>C929+D929</f>
        <v>3.6420000000000003</v>
      </c>
    </row>
    <row r="930" spans="1:5" s="27" customFormat="1" ht="23.25">
      <c r="A930" s="21"/>
      <c r="B930" s="2" t="s">
        <v>273</v>
      </c>
      <c r="C930" s="5">
        <f>C928+C929</f>
        <v>38.913</v>
      </c>
      <c r="D930" s="5"/>
      <c r="E930" s="5">
        <f>E928+E929</f>
        <v>41.103</v>
      </c>
    </row>
    <row r="931" spans="1:5" s="27" customFormat="1" ht="23.25">
      <c r="A931" s="50" t="s">
        <v>109</v>
      </c>
      <c r="B931" s="50"/>
      <c r="C931" s="50"/>
      <c r="D931" s="50"/>
      <c r="E931" s="50"/>
    </row>
    <row r="932" spans="1:5" s="27" customFormat="1" ht="23.25">
      <c r="A932" s="21">
        <v>1</v>
      </c>
      <c r="B932" s="2" t="s">
        <v>110</v>
      </c>
      <c r="C932" s="5">
        <f>2.57+(2.57*5/100)</f>
        <v>2.6984999999999997</v>
      </c>
      <c r="D932" s="5">
        <v>1.6</v>
      </c>
      <c r="E932" s="5">
        <f>C932+D932</f>
        <v>4.2985</v>
      </c>
    </row>
    <row r="933" spans="1:5" s="27" customFormat="1" ht="46.5">
      <c r="A933" s="21">
        <v>2</v>
      </c>
      <c r="B933" s="2" t="s">
        <v>1203</v>
      </c>
      <c r="C933" s="5">
        <f aca="true" t="shared" si="37" ref="C933:C949">2.57+(2.57*5/100)</f>
        <v>2.6984999999999997</v>
      </c>
      <c r="D933" s="5">
        <v>8.2</v>
      </c>
      <c r="E933" s="5">
        <f>C933+D933</f>
        <v>10.898499999999999</v>
      </c>
    </row>
    <row r="934" spans="1:5" s="27" customFormat="1" ht="46.5">
      <c r="A934" s="21">
        <v>3</v>
      </c>
      <c r="B934" s="1" t="s">
        <v>1195</v>
      </c>
      <c r="C934" s="5">
        <f>2.57+(2.57*5/100)</f>
        <v>2.6984999999999997</v>
      </c>
      <c r="D934" s="5">
        <v>5.61</v>
      </c>
      <c r="E934" s="5">
        <f>C934+D934</f>
        <v>8.3085</v>
      </c>
    </row>
    <row r="935" spans="1:5" s="27" customFormat="1" ht="23.25">
      <c r="A935" s="21">
        <v>4</v>
      </c>
      <c r="B935" s="2" t="s">
        <v>1204</v>
      </c>
      <c r="C935" s="5">
        <f t="shared" si="37"/>
        <v>2.6984999999999997</v>
      </c>
      <c r="D935" s="5">
        <v>12.92</v>
      </c>
      <c r="E935" s="5">
        <f>C935+D935</f>
        <v>15.6185</v>
      </c>
    </row>
    <row r="936" spans="1:5" s="27" customFormat="1" ht="23.25">
      <c r="A936" s="21">
        <v>5</v>
      </c>
      <c r="B936" s="2" t="s">
        <v>1205</v>
      </c>
      <c r="C936" s="5">
        <f t="shared" si="37"/>
        <v>2.6984999999999997</v>
      </c>
      <c r="D936" s="5">
        <v>12.81</v>
      </c>
      <c r="E936" s="5">
        <f>C936+D936</f>
        <v>15.5085</v>
      </c>
    </row>
    <row r="937" spans="1:5" s="24" customFormat="1" ht="24" customHeight="1">
      <c r="A937" s="21">
        <v>6</v>
      </c>
      <c r="B937" s="4" t="s">
        <v>1085</v>
      </c>
      <c r="C937" s="5">
        <f t="shared" si="37"/>
        <v>2.6984999999999997</v>
      </c>
      <c r="D937" s="7">
        <v>0.05</v>
      </c>
      <c r="E937" s="7">
        <f aca="true" t="shared" si="38" ref="E937:E948">C937+D937</f>
        <v>2.7484999999999995</v>
      </c>
    </row>
    <row r="938" spans="1:5" s="24" customFormat="1" ht="24" customHeight="1">
      <c r="A938" s="21">
        <v>7</v>
      </c>
      <c r="B938" s="4" t="s">
        <v>1086</v>
      </c>
      <c r="C938" s="5">
        <f t="shared" si="37"/>
        <v>2.6984999999999997</v>
      </c>
      <c r="D938" s="7">
        <v>0.05</v>
      </c>
      <c r="E938" s="7">
        <f t="shared" si="38"/>
        <v>2.7484999999999995</v>
      </c>
    </row>
    <row r="939" spans="1:5" s="24" customFormat="1" ht="26.25">
      <c r="A939" s="21">
        <v>8</v>
      </c>
      <c r="B939" s="4" t="s">
        <v>1087</v>
      </c>
      <c r="C939" s="5">
        <f t="shared" si="37"/>
        <v>2.6984999999999997</v>
      </c>
      <c r="D939" s="7">
        <v>0.05</v>
      </c>
      <c r="E939" s="7">
        <f t="shared" si="38"/>
        <v>2.7484999999999995</v>
      </c>
    </row>
    <row r="940" spans="1:5" s="24" customFormat="1" ht="26.25">
      <c r="A940" s="21">
        <v>9</v>
      </c>
      <c r="B940" s="4" t="s">
        <v>1088</v>
      </c>
      <c r="C940" s="5">
        <f t="shared" si="37"/>
        <v>2.6984999999999997</v>
      </c>
      <c r="D940" s="7">
        <v>0.04</v>
      </c>
      <c r="E940" s="7">
        <f t="shared" si="38"/>
        <v>2.7384999999999997</v>
      </c>
    </row>
    <row r="941" spans="1:5" s="24" customFormat="1" ht="26.25">
      <c r="A941" s="21">
        <v>10</v>
      </c>
      <c r="B941" s="4" t="s">
        <v>1089</v>
      </c>
      <c r="C941" s="5">
        <f t="shared" si="37"/>
        <v>2.6984999999999997</v>
      </c>
      <c r="D941" s="7">
        <v>0.04</v>
      </c>
      <c r="E941" s="7">
        <f t="shared" si="38"/>
        <v>2.7384999999999997</v>
      </c>
    </row>
    <row r="942" spans="1:5" s="24" customFormat="1" ht="26.25">
      <c r="A942" s="21">
        <v>11</v>
      </c>
      <c r="B942" s="4" t="s">
        <v>1090</v>
      </c>
      <c r="C942" s="5">
        <f t="shared" si="37"/>
        <v>2.6984999999999997</v>
      </c>
      <c r="D942" s="7">
        <v>0.04</v>
      </c>
      <c r="E942" s="7">
        <f t="shared" si="38"/>
        <v>2.7384999999999997</v>
      </c>
    </row>
    <row r="943" spans="1:5" s="24" customFormat="1" ht="26.25">
      <c r="A943" s="21">
        <v>12</v>
      </c>
      <c r="B943" s="4" t="s">
        <v>1091</v>
      </c>
      <c r="C943" s="5">
        <f t="shared" si="37"/>
        <v>2.6984999999999997</v>
      </c>
      <c r="D943" s="7">
        <v>0.04</v>
      </c>
      <c r="E943" s="7">
        <f t="shared" si="38"/>
        <v>2.7384999999999997</v>
      </c>
    </row>
    <row r="944" spans="1:5" s="24" customFormat="1" ht="26.25">
      <c r="A944" s="21">
        <v>13</v>
      </c>
      <c r="B944" s="4" t="s">
        <v>1092</v>
      </c>
      <c r="C944" s="5">
        <f t="shared" si="37"/>
        <v>2.6984999999999997</v>
      </c>
      <c r="D944" s="7">
        <v>0.04</v>
      </c>
      <c r="E944" s="7">
        <f t="shared" si="38"/>
        <v>2.7384999999999997</v>
      </c>
    </row>
    <row r="945" spans="1:5" s="24" customFormat="1" ht="26.25">
      <c r="A945" s="21">
        <v>14</v>
      </c>
      <c r="B945" s="4" t="s">
        <v>1093</v>
      </c>
      <c r="C945" s="5">
        <f t="shared" si="37"/>
        <v>2.6984999999999997</v>
      </c>
      <c r="D945" s="7">
        <v>0.04</v>
      </c>
      <c r="E945" s="7">
        <f t="shared" si="38"/>
        <v>2.7384999999999997</v>
      </c>
    </row>
    <row r="946" spans="1:5" s="24" customFormat="1" ht="26.25">
      <c r="A946" s="21">
        <v>15</v>
      </c>
      <c r="B946" s="4" t="s">
        <v>1094</v>
      </c>
      <c r="C946" s="5">
        <f t="shared" si="37"/>
        <v>2.6984999999999997</v>
      </c>
      <c r="D946" s="7">
        <v>0.04</v>
      </c>
      <c r="E946" s="7">
        <f t="shared" si="38"/>
        <v>2.7384999999999997</v>
      </c>
    </row>
    <row r="947" spans="1:5" s="24" customFormat="1" ht="54" customHeight="1">
      <c r="A947" s="21">
        <v>16</v>
      </c>
      <c r="B947" s="4" t="s">
        <v>1095</v>
      </c>
      <c r="C947" s="5">
        <f t="shared" si="37"/>
        <v>2.6984999999999997</v>
      </c>
      <c r="D947" s="7">
        <v>0.05</v>
      </c>
      <c r="E947" s="7">
        <f t="shared" si="38"/>
        <v>2.7484999999999995</v>
      </c>
    </row>
    <row r="948" spans="1:5" s="24" customFormat="1" ht="26.25">
      <c r="A948" s="21">
        <v>17</v>
      </c>
      <c r="B948" s="4" t="s">
        <v>525</v>
      </c>
      <c r="C948" s="5">
        <f t="shared" si="37"/>
        <v>2.6984999999999997</v>
      </c>
      <c r="D948" s="7">
        <v>3.11</v>
      </c>
      <c r="E948" s="7">
        <f t="shared" si="38"/>
        <v>5.8084999999999996</v>
      </c>
    </row>
    <row r="949" spans="1:5" s="24" customFormat="1" ht="53.25" customHeight="1">
      <c r="A949" s="21">
        <v>18</v>
      </c>
      <c r="B949" s="4" t="s">
        <v>526</v>
      </c>
      <c r="C949" s="5">
        <f t="shared" si="37"/>
        <v>2.6984999999999997</v>
      </c>
      <c r="D949" s="7">
        <v>20.42</v>
      </c>
      <c r="E949" s="7">
        <f>C949+D949</f>
        <v>23.1185</v>
      </c>
    </row>
    <row r="950" spans="1:5" s="24" customFormat="1" ht="26.25">
      <c r="A950" s="21">
        <v>19</v>
      </c>
      <c r="B950" s="4" t="s">
        <v>1224</v>
      </c>
      <c r="C950" s="5">
        <f>2.57+(2.57*5/100)</f>
        <v>2.6984999999999997</v>
      </c>
      <c r="D950" s="7">
        <v>0.04</v>
      </c>
      <c r="E950" s="7">
        <f>C950+D950</f>
        <v>2.7384999999999997</v>
      </c>
    </row>
    <row r="951" spans="1:5" s="24" customFormat="1" ht="26.25">
      <c r="A951" s="21">
        <v>20</v>
      </c>
      <c r="B951" s="4" t="s">
        <v>1225</v>
      </c>
      <c r="C951" s="5">
        <f>2.57+(2.57*5/100)</f>
        <v>2.6984999999999997</v>
      </c>
      <c r="D951" s="7">
        <v>0.04</v>
      </c>
      <c r="E951" s="7">
        <f>C951+D951</f>
        <v>2.7384999999999997</v>
      </c>
    </row>
    <row r="952" spans="1:5" s="24" customFormat="1" ht="26.25">
      <c r="A952" s="51" t="s">
        <v>527</v>
      </c>
      <c r="B952" s="51"/>
      <c r="C952" s="51"/>
      <c r="D952" s="51"/>
      <c r="E952" s="51"/>
    </row>
    <row r="953" spans="1:5" s="27" customFormat="1" ht="58.5" customHeight="1">
      <c r="A953" s="21" t="s">
        <v>202</v>
      </c>
      <c r="B953" s="2" t="s">
        <v>1206</v>
      </c>
      <c r="C953" s="5">
        <f>16.84+(16.84*5/100)</f>
        <v>17.682</v>
      </c>
      <c r="D953" s="5" t="s">
        <v>104</v>
      </c>
      <c r="E953" s="5">
        <f>C953</f>
        <v>17.682</v>
      </c>
    </row>
    <row r="954" spans="1:5" s="27" customFormat="1" ht="54.75" customHeight="1">
      <c r="A954" s="21" t="s">
        <v>557</v>
      </c>
      <c r="B954" s="2" t="s">
        <v>1207</v>
      </c>
      <c r="C954" s="5">
        <f>16.84+(16.84*5/100)</f>
        <v>17.682</v>
      </c>
      <c r="D954" s="5" t="s">
        <v>104</v>
      </c>
      <c r="E954" s="5">
        <f>C954</f>
        <v>17.682</v>
      </c>
    </row>
    <row r="955" spans="1:5" s="27" customFormat="1" ht="26.25">
      <c r="A955" s="45" t="s">
        <v>528</v>
      </c>
      <c r="B955" s="45"/>
      <c r="C955" s="45"/>
      <c r="D955" s="45"/>
      <c r="E955" s="45"/>
    </row>
    <row r="956" spans="1:5" s="27" customFormat="1" ht="23.25">
      <c r="A956" s="21" t="s">
        <v>202</v>
      </c>
      <c r="B956" s="2" t="s">
        <v>529</v>
      </c>
      <c r="C956" s="5">
        <f>1.08+(1.08*5/100)</f>
        <v>1.1340000000000001</v>
      </c>
      <c r="D956" s="5" t="s">
        <v>104</v>
      </c>
      <c r="E956" s="5">
        <f>C956</f>
        <v>1.1340000000000001</v>
      </c>
    </row>
    <row r="957" spans="1:5" s="27" customFormat="1" ht="57" customHeight="1">
      <c r="A957" s="21" t="s">
        <v>557</v>
      </c>
      <c r="B957" s="2" t="s">
        <v>530</v>
      </c>
      <c r="C957" s="5">
        <f>3.78+(3.78*5/100)</f>
        <v>3.969</v>
      </c>
      <c r="D957" s="5" t="s">
        <v>104</v>
      </c>
      <c r="E957" s="5">
        <f aca="true" t="shared" si="39" ref="E957:E969">C957</f>
        <v>3.969</v>
      </c>
    </row>
    <row r="958" spans="1:5" s="27" customFormat="1" ht="54.75" customHeight="1">
      <c r="A958" s="21" t="s">
        <v>1109</v>
      </c>
      <c r="B958" s="2" t="s">
        <v>531</v>
      </c>
      <c r="C958" s="5">
        <f>5.94+(5.94*5/100)</f>
        <v>6.237</v>
      </c>
      <c r="D958" s="5" t="s">
        <v>104</v>
      </c>
      <c r="E958" s="5">
        <f t="shared" si="39"/>
        <v>6.237</v>
      </c>
    </row>
    <row r="959" spans="1:5" s="27" customFormat="1" ht="51.75" customHeight="1">
      <c r="A959" s="21" t="s">
        <v>175</v>
      </c>
      <c r="B959" s="2" t="s">
        <v>532</v>
      </c>
      <c r="C959" s="5">
        <f>10.26+(10.26*5/100)</f>
        <v>10.773</v>
      </c>
      <c r="D959" s="5" t="s">
        <v>104</v>
      </c>
      <c r="E959" s="5">
        <f t="shared" si="39"/>
        <v>10.773</v>
      </c>
    </row>
    <row r="960" spans="1:5" s="27" customFormat="1" ht="23.25">
      <c r="A960" s="21" t="s">
        <v>177</v>
      </c>
      <c r="B960" s="2" t="s">
        <v>533</v>
      </c>
      <c r="C960" s="5">
        <f>0.75+(0.75*5/100)</f>
        <v>0.7875</v>
      </c>
      <c r="D960" s="5" t="s">
        <v>104</v>
      </c>
      <c r="E960" s="5">
        <f t="shared" si="39"/>
        <v>0.7875</v>
      </c>
    </row>
    <row r="961" spans="1:5" s="27" customFormat="1" ht="23.25">
      <c r="A961" s="21" t="s">
        <v>179</v>
      </c>
      <c r="B961" s="2" t="s">
        <v>534</v>
      </c>
      <c r="C961" s="5">
        <f>1.62+(1.62*5/100)</f>
        <v>1.701</v>
      </c>
      <c r="D961" s="5" t="s">
        <v>104</v>
      </c>
      <c r="E961" s="5">
        <f t="shared" si="39"/>
        <v>1.701</v>
      </c>
    </row>
    <row r="962" spans="1:5" ht="23.25">
      <c r="A962" s="21" t="s">
        <v>181</v>
      </c>
      <c r="B962" s="2" t="s">
        <v>535</v>
      </c>
      <c r="C962" s="5">
        <f>0.75+(0.75*5/100)</f>
        <v>0.7875</v>
      </c>
      <c r="D962" s="5" t="s">
        <v>104</v>
      </c>
      <c r="E962" s="5">
        <f t="shared" si="39"/>
        <v>0.7875</v>
      </c>
    </row>
    <row r="963" spans="1:5" ht="23.25">
      <c r="A963" s="21" t="s">
        <v>183</v>
      </c>
      <c r="B963" s="2" t="s">
        <v>536</v>
      </c>
      <c r="C963" s="5">
        <f>8.68+(8.68*5/100)</f>
        <v>9.113999999999999</v>
      </c>
      <c r="D963" s="5" t="s">
        <v>104</v>
      </c>
      <c r="E963" s="5">
        <f t="shared" si="39"/>
        <v>9.113999999999999</v>
      </c>
    </row>
    <row r="964" spans="1:5" ht="23.25">
      <c r="A964" s="21" t="s">
        <v>185</v>
      </c>
      <c r="B964" s="2" t="s">
        <v>537</v>
      </c>
      <c r="C964" s="5">
        <f>2.16+(2.16*5/100)</f>
        <v>2.2680000000000002</v>
      </c>
      <c r="D964" s="5" t="s">
        <v>104</v>
      </c>
      <c r="E964" s="5">
        <f t="shared" si="39"/>
        <v>2.2680000000000002</v>
      </c>
    </row>
    <row r="965" spans="1:5" s="24" customFormat="1" ht="26.25">
      <c r="A965" s="21" t="s">
        <v>187</v>
      </c>
      <c r="B965" s="2" t="s">
        <v>538</v>
      </c>
      <c r="C965" s="5">
        <f>1.08+(1.08*5/100)</f>
        <v>1.1340000000000001</v>
      </c>
      <c r="D965" s="5" t="s">
        <v>104</v>
      </c>
      <c r="E965" s="5">
        <f t="shared" si="39"/>
        <v>1.1340000000000001</v>
      </c>
    </row>
    <row r="966" spans="1:5" ht="23.25">
      <c r="A966" s="21" t="s">
        <v>34</v>
      </c>
      <c r="B966" s="2" t="s">
        <v>539</v>
      </c>
      <c r="C966" s="5">
        <f>6.48+(6.48*5/100)</f>
        <v>6.804</v>
      </c>
      <c r="D966" s="5" t="s">
        <v>104</v>
      </c>
      <c r="E966" s="5">
        <f t="shared" si="39"/>
        <v>6.804</v>
      </c>
    </row>
    <row r="967" spans="1:5" ht="23.25">
      <c r="A967" s="21" t="s">
        <v>36</v>
      </c>
      <c r="B967" s="2" t="s">
        <v>540</v>
      </c>
      <c r="C967" s="5">
        <f>1.08+(1.08*5/100)</f>
        <v>1.1340000000000001</v>
      </c>
      <c r="D967" s="5" t="s">
        <v>104</v>
      </c>
      <c r="E967" s="5">
        <f t="shared" si="39"/>
        <v>1.1340000000000001</v>
      </c>
    </row>
    <row r="968" spans="1:5" ht="23.25">
      <c r="A968" s="21" t="s">
        <v>37</v>
      </c>
      <c r="B968" s="2" t="s">
        <v>541</v>
      </c>
      <c r="C968" s="5">
        <f>1.08+(1.08*5/100)</f>
        <v>1.1340000000000001</v>
      </c>
      <c r="D968" s="5" t="s">
        <v>104</v>
      </c>
      <c r="E968" s="5">
        <f t="shared" si="39"/>
        <v>1.1340000000000001</v>
      </c>
    </row>
    <row r="969" spans="1:5" ht="23.25">
      <c r="A969" s="21" t="s">
        <v>38</v>
      </c>
      <c r="B969" s="2" t="s">
        <v>542</v>
      </c>
      <c r="C969" s="5">
        <f>0.75+(0.75*5/100)</f>
        <v>0.7875</v>
      </c>
      <c r="D969" s="5" t="s">
        <v>104</v>
      </c>
      <c r="E969" s="5">
        <f t="shared" si="39"/>
        <v>0.7875</v>
      </c>
    </row>
    <row r="970" spans="1:5" ht="26.25">
      <c r="A970" s="41" t="s">
        <v>48</v>
      </c>
      <c r="B970" s="42"/>
      <c r="C970" s="42"/>
      <c r="D970" s="42"/>
      <c r="E970" s="43"/>
    </row>
    <row r="971" spans="1:5" ht="46.5">
      <c r="A971" s="21">
        <v>1</v>
      </c>
      <c r="B971" s="2" t="s">
        <v>1162</v>
      </c>
      <c r="C971" s="5">
        <v>5.71</v>
      </c>
      <c r="D971" s="5" t="s">
        <v>104</v>
      </c>
      <c r="E971" s="5">
        <f>C971</f>
        <v>5.71</v>
      </c>
    </row>
    <row r="972" spans="1:5" ht="46.5">
      <c r="A972" s="21">
        <v>2</v>
      </c>
      <c r="B972" s="2" t="s">
        <v>1163</v>
      </c>
      <c r="C972" s="5">
        <v>6.52</v>
      </c>
      <c r="D972" s="5" t="s">
        <v>104</v>
      </c>
      <c r="E972" s="5">
        <f aca="true" t="shared" si="40" ref="E972:E988">C972</f>
        <v>6.52</v>
      </c>
    </row>
    <row r="973" spans="1:5" ht="46.5">
      <c r="A973" s="21">
        <v>3</v>
      </c>
      <c r="B973" s="2" t="s">
        <v>286</v>
      </c>
      <c r="C973" s="5">
        <v>5.53</v>
      </c>
      <c r="D973" s="5" t="s">
        <v>104</v>
      </c>
      <c r="E973" s="5">
        <f t="shared" si="40"/>
        <v>5.53</v>
      </c>
    </row>
    <row r="974" spans="1:5" ht="46.5">
      <c r="A974" s="21">
        <v>4</v>
      </c>
      <c r="B974" s="2" t="s">
        <v>287</v>
      </c>
      <c r="C974" s="5">
        <v>5.54</v>
      </c>
      <c r="D974" s="5" t="s">
        <v>104</v>
      </c>
      <c r="E974" s="5">
        <f t="shared" si="40"/>
        <v>5.54</v>
      </c>
    </row>
    <row r="975" spans="1:5" ht="46.5">
      <c r="A975" s="21">
        <v>5</v>
      </c>
      <c r="B975" s="2" t="s">
        <v>1164</v>
      </c>
      <c r="C975" s="5">
        <v>5.1</v>
      </c>
      <c r="D975" s="5" t="s">
        <v>104</v>
      </c>
      <c r="E975" s="5">
        <f t="shared" si="40"/>
        <v>5.1</v>
      </c>
    </row>
    <row r="976" spans="1:5" ht="46.5">
      <c r="A976" s="21">
        <v>6</v>
      </c>
      <c r="B976" s="2" t="s">
        <v>1208</v>
      </c>
      <c r="C976" s="5">
        <v>5.46</v>
      </c>
      <c r="D976" s="5" t="s">
        <v>104</v>
      </c>
      <c r="E976" s="5">
        <f>C976</f>
        <v>5.46</v>
      </c>
    </row>
    <row r="977" spans="1:5" ht="46.5">
      <c r="A977" s="21">
        <v>7</v>
      </c>
      <c r="B977" s="2" t="s">
        <v>281</v>
      </c>
      <c r="C977" s="5">
        <v>9.17</v>
      </c>
      <c r="D977" s="5" t="s">
        <v>104</v>
      </c>
      <c r="E977" s="5">
        <f t="shared" si="40"/>
        <v>9.17</v>
      </c>
    </row>
    <row r="978" spans="1:5" ht="46.5" customHeight="1">
      <c r="A978" s="21">
        <v>8</v>
      </c>
      <c r="B978" s="2" t="s">
        <v>280</v>
      </c>
      <c r="C978" s="5">
        <v>4.89</v>
      </c>
      <c r="D978" s="5" t="s">
        <v>104</v>
      </c>
      <c r="E978" s="5">
        <f t="shared" si="40"/>
        <v>4.89</v>
      </c>
    </row>
    <row r="979" spans="1:5" ht="46.5" customHeight="1">
      <c r="A979" s="21">
        <v>9</v>
      </c>
      <c r="B979" s="2" t="s">
        <v>1165</v>
      </c>
      <c r="C979" s="5">
        <v>6.1</v>
      </c>
      <c r="D979" s="5" t="s">
        <v>104</v>
      </c>
      <c r="E979" s="5">
        <f t="shared" si="40"/>
        <v>6.1</v>
      </c>
    </row>
    <row r="980" spans="1:5" ht="46.5">
      <c r="A980" s="21">
        <v>10</v>
      </c>
      <c r="B980" s="2" t="s">
        <v>279</v>
      </c>
      <c r="C980" s="5">
        <v>6.17</v>
      </c>
      <c r="D980" s="5" t="s">
        <v>104</v>
      </c>
      <c r="E980" s="5">
        <f t="shared" si="40"/>
        <v>6.17</v>
      </c>
    </row>
    <row r="981" spans="1:5" ht="46.5" customHeight="1">
      <c r="A981" s="21">
        <v>11</v>
      </c>
      <c r="B981" s="2" t="s">
        <v>160</v>
      </c>
      <c r="C981" s="5">
        <v>5.99</v>
      </c>
      <c r="D981" s="5" t="s">
        <v>104</v>
      </c>
      <c r="E981" s="5">
        <f t="shared" si="40"/>
        <v>5.99</v>
      </c>
    </row>
    <row r="982" spans="1:5" ht="46.5">
      <c r="A982" s="21">
        <v>12</v>
      </c>
      <c r="B982" s="2" t="s">
        <v>282</v>
      </c>
      <c r="C982" s="5">
        <v>4.82</v>
      </c>
      <c r="D982" s="5" t="s">
        <v>104</v>
      </c>
      <c r="E982" s="5">
        <f t="shared" si="40"/>
        <v>4.82</v>
      </c>
    </row>
    <row r="983" spans="1:5" ht="46.5">
      <c r="A983" s="21">
        <v>13</v>
      </c>
      <c r="B983" s="2" t="s">
        <v>159</v>
      </c>
      <c r="C983" s="5">
        <v>5.52</v>
      </c>
      <c r="D983" s="5" t="s">
        <v>104</v>
      </c>
      <c r="E983" s="5">
        <f t="shared" si="40"/>
        <v>5.52</v>
      </c>
    </row>
    <row r="984" spans="1:5" ht="46.5">
      <c r="A984" s="21">
        <v>14</v>
      </c>
      <c r="B984" s="2" t="s">
        <v>1166</v>
      </c>
      <c r="C984" s="5">
        <v>5.59</v>
      </c>
      <c r="D984" s="5" t="s">
        <v>104</v>
      </c>
      <c r="E984" s="5">
        <f t="shared" si="40"/>
        <v>5.59</v>
      </c>
    </row>
    <row r="985" spans="1:5" ht="46.5">
      <c r="A985" s="21">
        <v>15</v>
      </c>
      <c r="B985" s="2" t="s">
        <v>1209</v>
      </c>
      <c r="C985" s="5">
        <v>5.41</v>
      </c>
      <c r="D985" s="5" t="s">
        <v>104</v>
      </c>
      <c r="E985" s="5">
        <f t="shared" si="40"/>
        <v>5.41</v>
      </c>
    </row>
    <row r="986" spans="1:5" ht="46.5">
      <c r="A986" s="21">
        <v>16</v>
      </c>
      <c r="B986" s="2" t="s">
        <v>1167</v>
      </c>
      <c r="C986" s="5">
        <v>7.74</v>
      </c>
      <c r="D986" s="5" t="s">
        <v>104</v>
      </c>
      <c r="E986" s="5">
        <f t="shared" si="40"/>
        <v>7.74</v>
      </c>
    </row>
    <row r="987" spans="1:5" ht="46.5">
      <c r="A987" s="21">
        <v>17</v>
      </c>
      <c r="B987" s="2" t="s">
        <v>1168</v>
      </c>
      <c r="C987" s="5">
        <v>5.87</v>
      </c>
      <c r="D987" s="5" t="s">
        <v>104</v>
      </c>
      <c r="E987" s="5">
        <f t="shared" si="40"/>
        <v>5.87</v>
      </c>
    </row>
    <row r="988" spans="1:5" ht="46.5" customHeight="1">
      <c r="A988" s="21">
        <v>18</v>
      </c>
      <c r="B988" s="2" t="s">
        <v>1169</v>
      </c>
      <c r="C988" s="5">
        <v>5.87</v>
      </c>
      <c r="D988" s="5" t="s">
        <v>104</v>
      </c>
      <c r="E988" s="5">
        <f t="shared" si="40"/>
        <v>5.87</v>
      </c>
    </row>
    <row r="989" spans="1:5" ht="52.5" customHeight="1">
      <c r="A989" s="49" t="s">
        <v>283</v>
      </c>
      <c r="B989" s="49"/>
      <c r="C989" s="49"/>
      <c r="D989" s="49"/>
      <c r="E989" s="49"/>
    </row>
    <row r="990" spans="1:5" ht="46.5">
      <c r="A990" s="21" t="s">
        <v>202</v>
      </c>
      <c r="B990" s="2" t="s">
        <v>284</v>
      </c>
      <c r="C990" s="5">
        <f>8.37+(8.37*30/100)</f>
        <v>10.880999999999998</v>
      </c>
      <c r="D990" s="5" t="s">
        <v>104</v>
      </c>
      <c r="E990" s="5">
        <f>C990</f>
        <v>10.880999999999998</v>
      </c>
    </row>
    <row r="991" spans="1:5" ht="46.5">
      <c r="A991" s="21" t="s">
        <v>557</v>
      </c>
      <c r="B991" s="2" t="s">
        <v>285</v>
      </c>
      <c r="C991" s="5">
        <f>16.75+(16.75*5/100)</f>
        <v>17.5875</v>
      </c>
      <c r="D991" s="5" t="s">
        <v>104</v>
      </c>
      <c r="E991" s="5">
        <f>C991</f>
        <v>17.5875</v>
      </c>
    </row>
    <row r="992" spans="1:5" ht="26.25">
      <c r="A992" s="45" t="s">
        <v>715</v>
      </c>
      <c r="B992" s="45"/>
      <c r="C992" s="45"/>
      <c r="D992" s="45"/>
      <c r="E992" s="45"/>
    </row>
    <row r="993" spans="1:5" ht="46.5">
      <c r="A993" s="21" t="s">
        <v>202</v>
      </c>
      <c r="B993" s="2" t="s">
        <v>716</v>
      </c>
      <c r="C993" s="5">
        <f>13.29+(13.29*5/100)</f>
        <v>13.9545</v>
      </c>
      <c r="D993" s="5" t="s">
        <v>104</v>
      </c>
      <c r="E993" s="5">
        <f>C993</f>
        <v>13.9545</v>
      </c>
    </row>
    <row r="994" spans="1:5" ht="23.25">
      <c r="A994" s="21" t="s">
        <v>557</v>
      </c>
      <c r="B994" s="2" t="s">
        <v>717</v>
      </c>
      <c r="C994" s="5">
        <f>22.57+(22.57*5/100)</f>
        <v>23.6985</v>
      </c>
      <c r="D994" s="5" t="s">
        <v>104</v>
      </c>
      <c r="E994" s="5">
        <f aca="true" t="shared" si="41" ref="E994:E1006">C994</f>
        <v>23.6985</v>
      </c>
    </row>
    <row r="995" spans="1:5" ht="46.5">
      <c r="A995" s="21" t="s">
        <v>1109</v>
      </c>
      <c r="B995" s="2" t="s">
        <v>718</v>
      </c>
      <c r="C995" s="5">
        <f aca="true" t="shared" si="42" ref="C995:C1006">22.57+(22.57*5/100)</f>
        <v>23.6985</v>
      </c>
      <c r="D995" s="5" t="s">
        <v>104</v>
      </c>
      <c r="E995" s="5">
        <f t="shared" si="41"/>
        <v>23.6985</v>
      </c>
    </row>
    <row r="996" spans="1:5" ht="46.5">
      <c r="A996" s="21" t="s">
        <v>175</v>
      </c>
      <c r="B996" s="2" t="s">
        <v>719</v>
      </c>
      <c r="C996" s="5">
        <f t="shared" si="42"/>
        <v>23.6985</v>
      </c>
      <c r="D996" s="5" t="s">
        <v>104</v>
      </c>
      <c r="E996" s="5">
        <f t="shared" si="41"/>
        <v>23.6985</v>
      </c>
    </row>
    <row r="997" spans="1:5" ht="46.5">
      <c r="A997" s="21" t="s">
        <v>177</v>
      </c>
      <c r="B997" s="2" t="s">
        <v>720</v>
      </c>
      <c r="C997" s="5">
        <f t="shared" si="42"/>
        <v>23.6985</v>
      </c>
      <c r="D997" s="5" t="s">
        <v>104</v>
      </c>
      <c r="E997" s="5">
        <f t="shared" si="41"/>
        <v>23.6985</v>
      </c>
    </row>
    <row r="998" spans="1:5" ht="23.25">
      <c r="A998" s="21" t="s">
        <v>179</v>
      </c>
      <c r="B998" s="2" t="s">
        <v>721</v>
      </c>
      <c r="C998" s="5">
        <f t="shared" si="42"/>
        <v>23.6985</v>
      </c>
      <c r="D998" s="5" t="s">
        <v>104</v>
      </c>
      <c r="E998" s="5">
        <f t="shared" si="41"/>
        <v>23.6985</v>
      </c>
    </row>
    <row r="999" spans="1:5" ht="23.25">
      <c r="A999" s="21" t="s">
        <v>181</v>
      </c>
      <c r="B999" s="2" t="s">
        <v>722</v>
      </c>
      <c r="C999" s="5">
        <f t="shared" si="42"/>
        <v>23.6985</v>
      </c>
      <c r="D999" s="5" t="s">
        <v>104</v>
      </c>
      <c r="E999" s="5">
        <f t="shared" si="41"/>
        <v>23.6985</v>
      </c>
    </row>
    <row r="1000" spans="1:5" ht="23.25">
      <c r="A1000" s="21" t="s">
        <v>183</v>
      </c>
      <c r="B1000" s="2" t="s">
        <v>723</v>
      </c>
      <c r="C1000" s="5">
        <f t="shared" si="42"/>
        <v>23.6985</v>
      </c>
      <c r="D1000" s="5" t="s">
        <v>104</v>
      </c>
      <c r="E1000" s="5">
        <f t="shared" si="41"/>
        <v>23.6985</v>
      </c>
    </row>
    <row r="1001" spans="1:5" ht="46.5">
      <c r="A1001" s="21" t="s">
        <v>185</v>
      </c>
      <c r="B1001" s="2" t="s">
        <v>724</v>
      </c>
      <c r="C1001" s="5">
        <f t="shared" si="42"/>
        <v>23.6985</v>
      </c>
      <c r="D1001" s="5" t="s">
        <v>104</v>
      </c>
      <c r="E1001" s="5">
        <f t="shared" si="41"/>
        <v>23.6985</v>
      </c>
    </row>
    <row r="1002" spans="1:5" ht="46.5">
      <c r="A1002" s="21" t="s">
        <v>187</v>
      </c>
      <c r="B1002" s="2" t="s">
        <v>725</v>
      </c>
      <c r="C1002" s="5">
        <f t="shared" si="42"/>
        <v>23.6985</v>
      </c>
      <c r="D1002" s="5" t="s">
        <v>104</v>
      </c>
      <c r="E1002" s="5">
        <f t="shared" si="41"/>
        <v>23.6985</v>
      </c>
    </row>
    <row r="1003" spans="1:5" ht="46.5">
      <c r="A1003" s="21" t="s">
        <v>34</v>
      </c>
      <c r="B1003" s="2" t="s">
        <v>726</v>
      </c>
      <c r="C1003" s="5">
        <f t="shared" si="42"/>
        <v>23.6985</v>
      </c>
      <c r="D1003" s="5" t="s">
        <v>104</v>
      </c>
      <c r="E1003" s="5">
        <f t="shared" si="41"/>
        <v>23.6985</v>
      </c>
    </row>
    <row r="1004" spans="1:5" ht="46.5">
      <c r="A1004" s="21" t="s">
        <v>36</v>
      </c>
      <c r="B1004" s="2" t="s">
        <v>727</v>
      </c>
      <c r="C1004" s="5">
        <f t="shared" si="42"/>
        <v>23.6985</v>
      </c>
      <c r="D1004" s="5" t="s">
        <v>104</v>
      </c>
      <c r="E1004" s="5">
        <f t="shared" si="41"/>
        <v>23.6985</v>
      </c>
    </row>
    <row r="1005" spans="1:5" ht="46.5">
      <c r="A1005" s="21" t="s">
        <v>37</v>
      </c>
      <c r="B1005" s="2" t="s">
        <v>728</v>
      </c>
      <c r="C1005" s="5">
        <f t="shared" si="42"/>
        <v>23.6985</v>
      </c>
      <c r="D1005" s="5" t="s">
        <v>104</v>
      </c>
      <c r="E1005" s="5">
        <f t="shared" si="41"/>
        <v>23.6985</v>
      </c>
    </row>
    <row r="1006" spans="1:5" ht="46.5">
      <c r="A1006" s="21" t="s">
        <v>38</v>
      </c>
      <c r="B1006" s="2" t="s">
        <v>729</v>
      </c>
      <c r="C1006" s="5">
        <f t="shared" si="42"/>
        <v>23.6985</v>
      </c>
      <c r="D1006" s="5" t="s">
        <v>104</v>
      </c>
      <c r="E1006" s="5">
        <f t="shared" si="41"/>
        <v>23.6985</v>
      </c>
    </row>
    <row r="1007" spans="1:5" ht="26.25">
      <c r="A1007" s="45" t="s">
        <v>730</v>
      </c>
      <c r="B1007" s="45"/>
      <c r="C1007" s="45"/>
      <c r="D1007" s="45"/>
      <c r="E1007" s="45"/>
    </row>
    <row r="1008" spans="1:5" ht="23.25">
      <c r="A1008" s="21" t="s">
        <v>202</v>
      </c>
      <c r="B1008" s="2" t="s">
        <v>731</v>
      </c>
      <c r="C1008" s="5">
        <f>4.15+(4.15*5/100)</f>
        <v>4.3575</v>
      </c>
      <c r="D1008" s="5" t="s">
        <v>104</v>
      </c>
      <c r="E1008" s="5">
        <f>C1008</f>
        <v>4.3575</v>
      </c>
    </row>
    <row r="1009" spans="1:5" ht="23.25">
      <c r="A1009" s="21" t="s">
        <v>557</v>
      </c>
      <c r="B1009" s="2" t="s">
        <v>732</v>
      </c>
      <c r="C1009" s="5">
        <f>2.88+(2.88*5/100)</f>
        <v>3.024</v>
      </c>
      <c r="D1009" s="5" t="s">
        <v>104</v>
      </c>
      <c r="E1009" s="5">
        <f aca="true" t="shared" si="43" ref="E1009:E1021">C1009</f>
        <v>3.024</v>
      </c>
    </row>
    <row r="1010" spans="1:5" ht="23.25">
      <c r="A1010" s="21" t="s">
        <v>1109</v>
      </c>
      <c r="B1010" s="2" t="s">
        <v>733</v>
      </c>
      <c r="C1010" s="5">
        <f>4.12+(4.12*5/100)</f>
        <v>4.3260000000000005</v>
      </c>
      <c r="D1010" s="5" t="s">
        <v>104</v>
      </c>
      <c r="E1010" s="5">
        <f t="shared" si="43"/>
        <v>4.3260000000000005</v>
      </c>
    </row>
    <row r="1011" spans="1:5" ht="23.25">
      <c r="A1011" s="21" t="s">
        <v>175</v>
      </c>
      <c r="B1011" s="2" t="s">
        <v>734</v>
      </c>
      <c r="C1011" s="5">
        <f>10.98+(10.98*5/100)</f>
        <v>11.529</v>
      </c>
      <c r="D1011" s="5" t="s">
        <v>104</v>
      </c>
      <c r="E1011" s="5">
        <f t="shared" si="43"/>
        <v>11.529</v>
      </c>
    </row>
    <row r="1012" spans="1:5" ht="23.25">
      <c r="A1012" s="21" t="s">
        <v>177</v>
      </c>
      <c r="B1012" s="2" t="s">
        <v>735</v>
      </c>
      <c r="C1012" s="5">
        <f>5.49+(5.49*5/100)</f>
        <v>5.7645</v>
      </c>
      <c r="D1012" s="5" t="s">
        <v>104</v>
      </c>
      <c r="E1012" s="5">
        <f t="shared" si="43"/>
        <v>5.7645</v>
      </c>
    </row>
    <row r="1013" spans="1:5" ht="23.25">
      <c r="A1013" s="21" t="s">
        <v>179</v>
      </c>
      <c r="B1013" s="2" t="s">
        <v>736</v>
      </c>
      <c r="C1013" s="5">
        <f>10.98+(10.98*5/100)</f>
        <v>11.529</v>
      </c>
      <c r="D1013" s="5" t="s">
        <v>104</v>
      </c>
      <c r="E1013" s="5">
        <f t="shared" si="43"/>
        <v>11.529</v>
      </c>
    </row>
    <row r="1014" spans="1:5" ht="23.25">
      <c r="A1014" s="21" t="s">
        <v>181</v>
      </c>
      <c r="B1014" s="2" t="s">
        <v>737</v>
      </c>
      <c r="C1014" s="5">
        <f>5.49+(5.49*5/100)</f>
        <v>5.7645</v>
      </c>
      <c r="D1014" s="5" t="s">
        <v>104</v>
      </c>
      <c r="E1014" s="5">
        <f t="shared" si="43"/>
        <v>5.7645</v>
      </c>
    </row>
    <row r="1015" spans="1:5" ht="23.25">
      <c r="A1015" s="21" t="s">
        <v>183</v>
      </c>
      <c r="B1015" s="2" t="s">
        <v>738</v>
      </c>
      <c r="C1015" s="5">
        <f>4.54+(4.54*5/100)</f>
        <v>4.767</v>
      </c>
      <c r="D1015" s="5" t="s">
        <v>104</v>
      </c>
      <c r="E1015" s="5">
        <f t="shared" si="43"/>
        <v>4.767</v>
      </c>
    </row>
    <row r="1016" spans="1:5" ht="23.25">
      <c r="A1016" s="21" t="s">
        <v>185</v>
      </c>
      <c r="B1016" s="2" t="s">
        <v>739</v>
      </c>
      <c r="C1016" s="5">
        <f>5.49+(5.49*5/100)</f>
        <v>5.7645</v>
      </c>
      <c r="D1016" s="5" t="s">
        <v>104</v>
      </c>
      <c r="E1016" s="5">
        <f t="shared" si="43"/>
        <v>5.7645</v>
      </c>
    </row>
    <row r="1017" spans="1:5" ht="23.25">
      <c r="A1017" s="21" t="s">
        <v>187</v>
      </c>
      <c r="B1017" s="2" t="s">
        <v>740</v>
      </c>
      <c r="C1017" s="5">
        <f>5.49+(5.49*5/100)</f>
        <v>5.7645</v>
      </c>
      <c r="D1017" s="5" t="s">
        <v>104</v>
      </c>
      <c r="E1017" s="5">
        <f t="shared" si="43"/>
        <v>5.7645</v>
      </c>
    </row>
    <row r="1018" spans="1:5" ht="23.25">
      <c r="A1018" s="21" t="s">
        <v>34</v>
      </c>
      <c r="B1018" s="2" t="s">
        <v>741</v>
      </c>
      <c r="C1018" s="5">
        <f>7.32+(7.32*5/100)</f>
        <v>7.686</v>
      </c>
      <c r="D1018" s="5" t="s">
        <v>104</v>
      </c>
      <c r="E1018" s="5">
        <f t="shared" si="43"/>
        <v>7.686</v>
      </c>
    </row>
    <row r="1019" spans="1:5" ht="23.25">
      <c r="A1019" s="21" t="s">
        <v>36</v>
      </c>
      <c r="B1019" s="2" t="s">
        <v>742</v>
      </c>
      <c r="C1019" s="5">
        <f>7.32+(7.32*5/100)</f>
        <v>7.686</v>
      </c>
      <c r="D1019" s="5" t="s">
        <v>104</v>
      </c>
      <c r="E1019" s="5">
        <f t="shared" si="43"/>
        <v>7.686</v>
      </c>
    </row>
    <row r="1020" spans="1:5" ht="46.5">
      <c r="A1020" s="21" t="s">
        <v>37</v>
      </c>
      <c r="B1020" s="2" t="s">
        <v>743</v>
      </c>
      <c r="C1020" s="5">
        <f>7.32+(7.32*5/100)</f>
        <v>7.686</v>
      </c>
      <c r="D1020" s="5" t="s">
        <v>104</v>
      </c>
      <c r="E1020" s="5">
        <f t="shared" si="43"/>
        <v>7.686</v>
      </c>
    </row>
    <row r="1021" spans="1:5" ht="23.25">
      <c r="A1021" s="21" t="s">
        <v>38</v>
      </c>
      <c r="B1021" s="2" t="s">
        <v>744</v>
      </c>
      <c r="C1021" s="5">
        <f>10.3+(10.3*5/100)</f>
        <v>10.815000000000001</v>
      </c>
      <c r="D1021" s="5" t="s">
        <v>104</v>
      </c>
      <c r="E1021" s="5">
        <f t="shared" si="43"/>
        <v>10.815000000000001</v>
      </c>
    </row>
    <row r="1022" spans="1:5" ht="26.25">
      <c r="A1022" s="45" t="s">
        <v>745</v>
      </c>
      <c r="B1022" s="45"/>
      <c r="C1022" s="45"/>
      <c r="D1022" s="45"/>
      <c r="E1022" s="45"/>
    </row>
    <row r="1023" spans="1:5" ht="23.25">
      <c r="A1023" s="21" t="s">
        <v>202</v>
      </c>
      <c r="B1023" s="2" t="s">
        <v>475</v>
      </c>
      <c r="C1023" s="5">
        <f>9.95+(9.95*5/100)</f>
        <v>10.4475</v>
      </c>
      <c r="D1023" s="5" t="s">
        <v>104</v>
      </c>
      <c r="E1023" s="5">
        <f>C1023</f>
        <v>10.4475</v>
      </c>
    </row>
    <row r="1024" spans="1:5" ht="46.5">
      <c r="A1024" s="21" t="s">
        <v>557</v>
      </c>
      <c r="B1024" s="2" t="s">
        <v>746</v>
      </c>
      <c r="C1024" s="5">
        <f>9.97+(9.97*5/100)</f>
        <v>10.4685</v>
      </c>
      <c r="D1024" s="5" t="s">
        <v>104</v>
      </c>
      <c r="E1024" s="5">
        <f aca="true" t="shared" si="44" ref="E1024:E1054">C1024</f>
        <v>10.4685</v>
      </c>
    </row>
    <row r="1025" spans="1:5" ht="23.25">
      <c r="A1025" s="21" t="s">
        <v>1109</v>
      </c>
      <c r="B1025" s="2" t="s">
        <v>747</v>
      </c>
      <c r="C1025" s="5">
        <f>14.64+(14.64*5/100)</f>
        <v>15.372</v>
      </c>
      <c r="D1025" s="5" t="s">
        <v>104</v>
      </c>
      <c r="E1025" s="5">
        <f t="shared" si="44"/>
        <v>15.372</v>
      </c>
    </row>
    <row r="1026" spans="1:5" ht="46.5">
      <c r="A1026" s="21" t="s">
        <v>175</v>
      </c>
      <c r="B1026" s="2" t="s">
        <v>748</v>
      </c>
      <c r="C1026" s="5">
        <f>14.64+(14.64*5/100)</f>
        <v>15.372</v>
      </c>
      <c r="D1026" s="5" t="s">
        <v>104</v>
      </c>
      <c r="E1026" s="5">
        <f t="shared" si="44"/>
        <v>15.372</v>
      </c>
    </row>
    <row r="1027" spans="1:5" ht="23.25">
      <c r="A1027" s="21" t="s">
        <v>177</v>
      </c>
      <c r="B1027" s="2" t="s">
        <v>749</v>
      </c>
      <c r="C1027" s="5">
        <f>20.93+(20.93*5/100)</f>
        <v>21.9765</v>
      </c>
      <c r="D1027" s="5" t="s">
        <v>104</v>
      </c>
      <c r="E1027" s="5">
        <f t="shared" si="44"/>
        <v>21.9765</v>
      </c>
    </row>
    <row r="1028" spans="1:5" ht="23.25">
      <c r="A1028" s="21" t="s">
        <v>179</v>
      </c>
      <c r="B1028" s="2" t="s">
        <v>750</v>
      </c>
      <c r="C1028" s="5">
        <f>9.97+(9.97*5/100)</f>
        <v>10.4685</v>
      </c>
      <c r="D1028" s="5" t="s">
        <v>104</v>
      </c>
      <c r="E1028" s="5">
        <f t="shared" si="44"/>
        <v>10.4685</v>
      </c>
    </row>
    <row r="1029" spans="1:5" ht="46.5">
      <c r="A1029" s="21" t="s">
        <v>181</v>
      </c>
      <c r="B1029" s="2" t="s">
        <v>751</v>
      </c>
      <c r="C1029" s="5">
        <f>9.97+(9.97*5/100)</f>
        <v>10.4685</v>
      </c>
      <c r="D1029" s="5" t="s">
        <v>104</v>
      </c>
      <c r="E1029" s="5">
        <f t="shared" si="44"/>
        <v>10.4685</v>
      </c>
    </row>
    <row r="1030" spans="1:5" ht="46.5">
      <c r="A1030" s="21" t="s">
        <v>183</v>
      </c>
      <c r="B1030" s="2" t="s">
        <v>752</v>
      </c>
      <c r="C1030" s="5">
        <f>17.88+(17.88*5/100)</f>
        <v>18.773999999999997</v>
      </c>
      <c r="D1030" s="5" t="s">
        <v>104</v>
      </c>
      <c r="E1030" s="5">
        <f t="shared" si="44"/>
        <v>18.773999999999997</v>
      </c>
    </row>
    <row r="1031" spans="1:5" ht="23.25">
      <c r="A1031" s="21" t="s">
        <v>185</v>
      </c>
      <c r="B1031" s="2" t="s">
        <v>753</v>
      </c>
      <c r="C1031" s="5">
        <f>14.64+(14.64*5/100)</f>
        <v>15.372</v>
      </c>
      <c r="D1031" s="5" t="s">
        <v>104</v>
      </c>
      <c r="E1031" s="5">
        <f t="shared" si="44"/>
        <v>15.372</v>
      </c>
    </row>
    <row r="1032" spans="1:5" ht="23.25">
      <c r="A1032" s="21" t="s">
        <v>187</v>
      </c>
      <c r="B1032" s="2" t="s">
        <v>754</v>
      </c>
      <c r="C1032" s="5">
        <f>27.21+(27.21*5/100)</f>
        <v>28.570500000000003</v>
      </c>
      <c r="D1032" s="5" t="s">
        <v>104</v>
      </c>
      <c r="E1032" s="5">
        <f t="shared" si="44"/>
        <v>28.570500000000003</v>
      </c>
    </row>
    <row r="1033" spans="1:5" ht="23.25">
      <c r="A1033" s="21" t="s">
        <v>34</v>
      </c>
      <c r="B1033" s="2" t="s">
        <v>755</v>
      </c>
      <c r="C1033" s="5">
        <f>9.48+(9.48*5/100)</f>
        <v>9.954</v>
      </c>
      <c r="D1033" s="5" t="s">
        <v>104</v>
      </c>
      <c r="E1033" s="5">
        <f t="shared" si="44"/>
        <v>9.954</v>
      </c>
    </row>
    <row r="1034" spans="1:5" ht="23.25">
      <c r="A1034" s="21" t="s">
        <v>36</v>
      </c>
      <c r="B1034" s="2" t="s">
        <v>756</v>
      </c>
      <c r="C1034" s="5">
        <f>27.21+(27.21*5/100)</f>
        <v>28.570500000000003</v>
      </c>
      <c r="D1034" s="5" t="s">
        <v>104</v>
      </c>
      <c r="E1034" s="5">
        <f t="shared" si="44"/>
        <v>28.570500000000003</v>
      </c>
    </row>
    <row r="1035" spans="1:5" ht="23.25">
      <c r="A1035" s="21" t="s">
        <v>37</v>
      </c>
      <c r="B1035" s="2" t="s">
        <v>757</v>
      </c>
      <c r="C1035" s="5">
        <f>40.82+(40.82*5/100)</f>
        <v>42.861</v>
      </c>
      <c r="D1035" s="5" t="s">
        <v>104</v>
      </c>
      <c r="E1035" s="5">
        <f t="shared" si="44"/>
        <v>42.861</v>
      </c>
    </row>
    <row r="1036" spans="1:5" ht="23.25">
      <c r="A1036" s="21" t="s">
        <v>38</v>
      </c>
      <c r="B1036" s="2" t="s">
        <v>758</v>
      </c>
      <c r="C1036" s="5">
        <f>53.4+(53.4*5/100)</f>
        <v>56.07</v>
      </c>
      <c r="D1036" s="5" t="s">
        <v>104</v>
      </c>
      <c r="E1036" s="5">
        <f t="shared" si="44"/>
        <v>56.07</v>
      </c>
    </row>
    <row r="1037" spans="1:5" ht="23.25">
      <c r="A1037" s="21" t="s">
        <v>39</v>
      </c>
      <c r="B1037" s="2" t="s">
        <v>759</v>
      </c>
      <c r="C1037" s="5">
        <f>53.4+(53.4*5/100)</f>
        <v>56.07</v>
      </c>
      <c r="D1037" s="5" t="s">
        <v>104</v>
      </c>
      <c r="E1037" s="5">
        <f t="shared" si="44"/>
        <v>56.07</v>
      </c>
    </row>
    <row r="1038" spans="1:5" ht="23.25">
      <c r="A1038" s="21" t="s">
        <v>41</v>
      </c>
      <c r="B1038" s="2" t="s">
        <v>760</v>
      </c>
      <c r="C1038" s="5">
        <f>29.28+(29.28*5/100)</f>
        <v>30.744</v>
      </c>
      <c r="D1038" s="5" t="s">
        <v>104</v>
      </c>
      <c r="E1038" s="5">
        <f t="shared" si="44"/>
        <v>30.744</v>
      </c>
    </row>
    <row r="1039" spans="1:5" ht="23.25">
      <c r="A1039" s="21" t="s">
        <v>43</v>
      </c>
      <c r="B1039" s="2" t="s">
        <v>761</v>
      </c>
      <c r="C1039" s="5">
        <f>56.49+(56.49*5/100)</f>
        <v>59.3145</v>
      </c>
      <c r="D1039" s="5" t="s">
        <v>104</v>
      </c>
      <c r="E1039" s="5">
        <f t="shared" si="44"/>
        <v>59.3145</v>
      </c>
    </row>
    <row r="1040" spans="1:5" ht="23.25">
      <c r="A1040" s="21" t="s">
        <v>45</v>
      </c>
      <c r="B1040" s="2" t="s">
        <v>762</v>
      </c>
      <c r="C1040" s="5">
        <f>40.82+(40.82*5/100)</f>
        <v>42.861</v>
      </c>
      <c r="D1040" s="5" t="s">
        <v>104</v>
      </c>
      <c r="E1040" s="5">
        <f t="shared" si="44"/>
        <v>42.861</v>
      </c>
    </row>
    <row r="1041" spans="1:5" ht="23.25">
      <c r="A1041" s="21" t="s">
        <v>47</v>
      </c>
      <c r="B1041" s="2" t="s">
        <v>763</v>
      </c>
      <c r="C1041" s="5">
        <f>40.82+(40.82*5/100)</f>
        <v>42.861</v>
      </c>
      <c r="D1041" s="5" t="s">
        <v>104</v>
      </c>
      <c r="E1041" s="5">
        <f t="shared" si="44"/>
        <v>42.861</v>
      </c>
    </row>
    <row r="1042" spans="1:5" ht="23.25">
      <c r="A1042" s="21" t="s">
        <v>1097</v>
      </c>
      <c r="B1042" s="2" t="s">
        <v>764</v>
      </c>
      <c r="C1042" s="5">
        <f>28.25+(28.25*5/100)</f>
        <v>29.6625</v>
      </c>
      <c r="D1042" s="5" t="s">
        <v>104</v>
      </c>
      <c r="E1042" s="5">
        <f t="shared" si="44"/>
        <v>29.6625</v>
      </c>
    </row>
    <row r="1043" spans="1:5" ht="23.25">
      <c r="A1043" s="21" t="s">
        <v>1099</v>
      </c>
      <c r="B1043" s="2" t="s">
        <v>765</v>
      </c>
      <c r="C1043" s="5">
        <f>40.82+(40.82*5/100)</f>
        <v>42.861</v>
      </c>
      <c r="D1043" s="5" t="s">
        <v>104</v>
      </c>
      <c r="E1043" s="5">
        <f t="shared" si="44"/>
        <v>42.861</v>
      </c>
    </row>
    <row r="1044" spans="1:5" ht="46.5">
      <c r="A1044" s="21" t="s">
        <v>1101</v>
      </c>
      <c r="B1044" s="2" t="s">
        <v>766</v>
      </c>
      <c r="C1044" s="5">
        <f>28.25+(28.25*5/100)</f>
        <v>29.6625</v>
      </c>
      <c r="D1044" s="5" t="s">
        <v>104</v>
      </c>
      <c r="E1044" s="5">
        <f t="shared" si="44"/>
        <v>29.6625</v>
      </c>
    </row>
    <row r="1045" spans="1:5" ht="23.25">
      <c r="A1045" s="21" t="s">
        <v>1103</v>
      </c>
      <c r="B1045" s="2" t="s">
        <v>767</v>
      </c>
      <c r="C1045" s="5">
        <f>28.25+(28.25*5/100)</f>
        <v>29.6625</v>
      </c>
      <c r="D1045" s="5" t="s">
        <v>104</v>
      </c>
      <c r="E1045" s="5">
        <f t="shared" si="44"/>
        <v>29.6625</v>
      </c>
    </row>
    <row r="1046" spans="1:5" ht="23.25">
      <c r="A1046" s="21" t="s">
        <v>1105</v>
      </c>
      <c r="B1046" s="2" t="s">
        <v>768</v>
      </c>
      <c r="C1046" s="5">
        <f>28.25+(28.25*5/100)</f>
        <v>29.6625</v>
      </c>
      <c r="D1046" s="5" t="s">
        <v>104</v>
      </c>
      <c r="E1046" s="5">
        <f t="shared" si="44"/>
        <v>29.6625</v>
      </c>
    </row>
    <row r="1047" spans="1:5" ht="23.25">
      <c r="A1047" s="21" t="s">
        <v>278</v>
      </c>
      <c r="B1047" s="2" t="s">
        <v>769</v>
      </c>
      <c r="C1047" s="5">
        <f>28.25+(28.25*5/100)</f>
        <v>29.6625</v>
      </c>
      <c r="D1047" s="5" t="s">
        <v>104</v>
      </c>
      <c r="E1047" s="5">
        <f t="shared" si="44"/>
        <v>29.6625</v>
      </c>
    </row>
    <row r="1048" spans="1:5" ht="46.5">
      <c r="A1048" s="21" t="s">
        <v>1119</v>
      </c>
      <c r="B1048" s="2" t="s">
        <v>770</v>
      </c>
      <c r="C1048" s="5">
        <f>28.25+(28.25*5/100)</f>
        <v>29.6625</v>
      </c>
      <c r="D1048" s="5" t="s">
        <v>104</v>
      </c>
      <c r="E1048" s="5">
        <f t="shared" si="44"/>
        <v>29.6625</v>
      </c>
    </row>
    <row r="1049" spans="1:5" ht="46.5">
      <c r="A1049" s="21" t="s">
        <v>1120</v>
      </c>
      <c r="B1049" s="2" t="s">
        <v>771</v>
      </c>
      <c r="C1049" s="5">
        <f>56.49+(56.49*5/100)</f>
        <v>59.3145</v>
      </c>
      <c r="D1049" s="5" t="s">
        <v>104</v>
      </c>
      <c r="E1049" s="5">
        <f t="shared" si="44"/>
        <v>59.3145</v>
      </c>
    </row>
    <row r="1050" spans="1:5" ht="23.25">
      <c r="A1050" s="21" t="s">
        <v>1122</v>
      </c>
      <c r="B1050" s="2" t="s">
        <v>772</v>
      </c>
      <c r="C1050" s="5">
        <f>69.07+(69.07*5/100)</f>
        <v>72.5235</v>
      </c>
      <c r="D1050" s="5" t="s">
        <v>104</v>
      </c>
      <c r="E1050" s="5">
        <f t="shared" si="44"/>
        <v>72.5235</v>
      </c>
    </row>
    <row r="1051" spans="1:5" ht="23.25">
      <c r="A1051" s="21" t="s">
        <v>1123</v>
      </c>
      <c r="B1051" s="2" t="s">
        <v>773</v>
      </c>
      <c r="C1051" s="5">
        <f>81.64+(81.64*5/100)</f>
        <v>85.722</v>
      </c>
      <c r="D1051" s="5" t="s">
        <v>104</v>
      </c>
      <c r="E1051" s="5">
        <f t="shared" si="44"/>
        <v>85.722</v>
      </c>
    </row>
    <row r="1052" spans="1:5" ht="46.5">
      <c r="A1052" s="21" t="s">
        <v>1124</v>
      </c>
      <c r="B1052" s="2" t="s">
        <v>774</v>
      </c>
      <c r="C1052" s="5">
        <f>81.64+(81.64*5/100)</f>
        <v>85.722</v>
      </c>
      <c r="D1052" s="5" t="s">
        <v>104</v>
      </c>
      <c r="E1052" s="5">
        <f t="shared" si="44"/>
        <v>85.722</v>
      </c>
    </row>
    <row r="1053" spans="1:5" ht="46.5">
      <c r="A1053" s="21" t="s">
        <v>1126</v>
      </c>
      <c r="B1053" s="2" t="s">
        <v>775</v>
      </c>
      <c r="C1053" s="5">
        <f>69.07+(69.07*5/100)</f>
        <v>72.5235</v>
      </c>
      <c r="D1053" s="5" t="s">
        <v>104</v>
      </c>
      <c r="E1053" s="5">
        <f t="shared" si="44"/>
        <v>72.5235</v>
      </c>
    </row>
    <row r="1054" spans="1:5" ht="69.75">
      <c r="A1054" s="21" t="s">
        <v>1128</v>
      </c>
      <c r="B1054" s="2" t="s">
        <v>776</v>
      </c>
      <c r="C1054" s="5">
        <f>69.07+(69.07*5/100)</f>
        <v>72.5235</v>
      </c>
      <c r="D1054" s="5" t="s">
        <v>104</v>
      </c>
      <c r="E1054" s="5">
        <f t="shared" si="44"/>
        <v>72.5235</v>
      </c>
    </row>
    <row r="1055" spans="1:5" ht="18.75">
      <c r="A1055" s="34"/>
      <c r="B1055" s="8"/>
      <c r="C1055" s="35"/>
      <c r="D1055" s="35"/>
      <c r="E1055" s="35"/>
    </row>
    <row r="1056" spans="1:5" ht="18.75">
      <c r="A1056" s="10"/>
      <c r="B1056" s="36"/>
      <c r="C1056" s="37"/>
      <c r="D1056" s="37"/>
      <c r="E1056" s="37"/>
    </row>
    <row r="1057" spans="1:5" ht="58.5" customHeight="1">
      <c r="A1057" s="46" t="s">
        <v>103</v>
      </c>
      <c r="B1057" s="46"/>
      <c r="C1057" s="46"/>
      <c r="D1057" s="46"/>
      <c r="E1057" s="46"/>
    </row>
    <row r="1058" spans="1:5" ht="18.75">
      <c r="A1058" s="10"/>
      <c r="B1058" s="36"/>
      <c r="C1058" s="37"/>
      <c r="D1058" s="37"/>
      <c r="E1058" s="37"/>
    </row>
    <row r="1059" spans="1:5" ht="18.75">
      <c r="A1059" s="10"/>
      <c r="B1059" s="36"/>
      <c r="C1059" s="37"/>
      <c r="D1059" s="37"/>
      <c r="E1059" s="37"/>
    </row>
    <row r="1060" spans="1:5" ht="26.25">
      <c r="A1060" s="47" t="s">
        <v>101</v>
      </c>
      <c r="B1060" s="47"/>
      <c r="C1060" s="38"/>
      <c r="D1060" s="48" t="s">
        <v>102</v>
      </c>
      <c r="E1060" s="48"/>
    </row>
    <row r="1061" spans="1:5" ht="18.75">
      <c r="A1061" s="10"/>
      <c r="B1061" s="36"/>
      <c r="C1061" s="37"/>
      <c r="D1061" s="37"/>
      <c r="E1061" s="37"/>
    </row>
    <row r="1062" spans="1:5" ht="18.75">
      <c r="A1062" s="10"/>
      <c r="B1062" s="36"/>
      <c r="C1062" s="37"/>
      <c r="D1062" s="37"/>
      <c r="E1062" s="37"/>
    </row>
    <row r="1063" spans="1:5" ht="23.25">
      <c r="A1063" s="44" t="s">
        <v>1194</v>
      </c>
      <c r="B1063" s="44"/>
      <c r="C1063" s="11"/>
      <c r="D1063" s="18"/>
      <c r="E1063" s="11"/>
    </row>
  </sheetData>
  <sheetProtection/>
  <mergeCells count="50">
    <mergeCell ref="A9:E9"/>
    <mergeCell ref="A10:E10"/>
    <mergeCell ref="A11:E11"/>
    <mergeCell ref="C1:E1"/>
    <mergeCell ref="C2:E2"/>
    <mergeCell ref="C3:E3"/>
    <mergeCell ref="C4:E4"/>
    <mergeCell ref="A7:E7"/>
    <mergeCell ref="A8:E8"/>
    <mergeCell ref="A14:E14"/>
    <mergeCell ref="A24:E24"/>
    <mergeCell ref="A34:E34"/>
    <mergeCell ref="A72:E72"/>
    <mergeCell ref="A115:E115"/>
    <mergeCell ref="A146:E146"/>
    <mergeCell ref="A55:E55"/>
    <mergeCell ref="A187:E187"/>
    <mergeCell ref="A201:E201"/>
    <mergeCell ref="A305:E305"/>
    <mergeCell ref="A243:E243"/>
    <mergeCell ref="A266:E266"/>
    <mergeCell ref="A295:E295"/>
    <mergeCell ref="A319:E319"/>
    <mergeCell ref="A393:E393"/>
    <mergeCell ref="A476:E476"/>
    <mergeCell ref="B479:E479"/>
    <mergeCell ref="A557:E557"/>
    <mergeCell ref="B396:E396"/>
    <mergeCell ref="A558:E558"/>
    <mergeCell ref="A566:E566"/>
    <mergeCell ref="A776:E776"/>
    <mergeCell ref="A586:E586"/>
    <mergeCell ref="A733:E733"/>
    <mergeCell ref="A761:E761"/>
    <mergeCell ref="A955:E955"/>
    <mergeCell ref="A931:E931"/>
    <mergeCell ref="A952:E952"/>
    <mergeCell ref="A779:E779"/>
    <mergeCell ref="A826:E826"/>
    <mergeCell ref="A906:E906"/>
    <mergeCell ref="A895:E895"/>
    <mergeCell ref="A970:E970"/>
    <mergeCell ref="A1063:B1063"/>
    <mergeCell ref="A992:E992"/>
    <mergeCell ref="A1007:E1007"/>
    <mergeCell ref="A1022:E1022"/>
    <mergeCell ref="A1057:E1057"/>
    <mergeCell ref="A1060:B1060"/>
    <mergeCell ref="D1060:E1060"/>
    <mergeCell ref="A989:E989"/>
  </mergeCells>
  <printOptions horizontalCentered="1"/>
  <pageMargins left="0.5905511811023623" right="0.1968503937007874" top="0.1968503937007874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Женя_молодец</dc:creator>
  <cp:keywords/>
  <dc:description/>
  <cp:lastModifiedBy>Admin</cp:lastModifiedBy>
  <cp:lastPrinted>2019-12-30T06:57:19Z</cp:lastPrinted>
  <dcterms:created xsi:type="dcterms:W3CDTF">2010-04-16T15:04:28Z</dcterms:created>
  <dcterms:modified xsi:type="dcterms:W3CDTF">2019-12-30T06:58:34Z</dcterms:modified>
  <cp:category/>
  <cp:version/>
  <cp:contentType/>
  <cp:contentStatus/>
</cp:coreProperties>
</file>